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623F9489-F692-4E73-AFAB-2CF1BB5A6DD1}" xr6:coauthVersionLast="47" xr6:coauthVersionMax="47" xr10:uidLastSave="{00000000-0000-0000-0000-000000000000}"/>
  <bookViews>
    <workbookView xWindow="-108" yWindow="-108" windowWidth="23256" windowHeight="12456" xr2:uid="{4D19D33C-A73A-49F0-9C45-A5CA623B87A0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3" l="1"/>
  <c r="A60" i="3"/>
  <c r="E59" i="3"/>
  <c r="C59" i="3"/>
  <c r="E58" i="3"/>
  <c r="C58" i="3"/>
  <c r="E57" i="3"/>
  <c r="C57" i="3"/>
  <c r="D55" i="3"/>
  <c r="C55" i="3"/>
  <c r="D54" i="3" s="1"/>
  <c r="C54" i="3"/>
  <c r="D53" i="3"/>
  <c r="C53" i="3"/>
  <c r="B51" i="3"/>
  <c r="B50" i="3"/>
  <c r="C46" i="3"/>
  <c r="E41" i="3"/>
  <c r="C41" i="3"/>
  <c r="E40" i="3"/>
  <c r="C40" i="3"/>
  <c r="A32" i="3"/>
  <c r="E31" i="3"/>
  <c r="C31" i="3"/>
  <c r="E30" i="3"/>
  <c r="C30" i="3"/>
  <c r="E29" i="3"/>
  <c r="C29" i="3"/>
  <c r="C22" i="3"/>
  <c r="E16" i="3"/>
  <c r="E15" i="3"/>
  <c r="C15" i="3"/>
  <c r="E14" i="3"/>
  <c r="C14" i="3"/>
  <c r="E8" i="3"/>
  <c r="C8" i="3"/>
  <c r="E7" i="3"/>
  <c r="C7" i="3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A90" i="2"/>
  <c r="B89" i="2"/>
  <c r="B88" i="2"/>
  <c r="A79" i="2"/>
  <c r="C78" i="2"/>
  <c r="C77" i="2"/>
  <c r="C76" i="2"/>
  <c r="B73" i="2"/>
  <c r="A68" i="2"/>
  <c r="F67" i="2"/>
  <c r="E67" i="2"/>
  <c r="D67" i="2"/>
  <c r="C67" i="2"/>
  <c r="F66" i="2"/>
  <c r="E66" i="2"/>
  <c r="D66" i="2"/>
  <c r="C66" i="2"/>
  <c r="F65" i="2"/>
  <c r="E65" i="2"/>
  <c r="D65" i="2"/>
  <c r="C65" i="2"/>
  <c r="F64" i="2"/>
  <c r="E64" i="2"/>
  <c r="D64" i="2"/>
  <c r="C64" i="2"/>
  <c r="A64" i="2"/>
  <c r="F63" i="2"/>
  <c r="E63" i="2"/>
  <c r="D63" i="2"/>
  <c r="C63" i="2"/>
  <c r="A63" i="2"/>
  <c r="F62" i="2"/>
  <c r="E62" i="2"/>
  <c r="D62" i="2"/>
  <c r="C62" i="2"/>
  <c r="A62" i="2"/>
  <c r="A58" i="2"/>
  <c r="C55" i="2"/>
  <c r="C57" i="2"/>
  <c r="B57" i="2"/>
  <c r="C56" i="2"/>
  <c r="B56" i="2"/>
  <c r="B55" i="2"/>
  <c r="B54" i="2"/>
  <c r="B53" i="2"/>
  <c r="B52" i="2"/>
  <c r="B51" i="2"/>
  <c r="B50" i="2"/>
  <c r="A42" i="2"/>
  <c r="B41" i="2"/>
  <c r="C40" i="2"/>
  <c r="B40" i="2"/>
  <c r="B39" i="2"/>
  <c r="B38" i="2"/>
  <c r="B37" i="2"/>
  <c r="G33" i="2"/>
  <c r="F33" i="2"/>
  <c r="E33" i="2"/>
  <c r="D33" i="2"/>
  <c r="C33" i="2"/>
  <c r="G32" i="2"/>
  <c r="F32" i="2"/>
  <c r="E32" i="2"/>
  <c r="D32" i="2"/>
  <c r="C32" i="2"/>
  <c r="G31" i="2"/>
  <c r="F31" i="2"/>
  <c r="E31" i="2"/>
  <c r="D31" i="2"/>
  <c r="C31" i="2"/>
  <c r="G30" i="2"/>
  <c r="F30" i="2"/>
  <c r="D30" i="2"/>
  <c r="A21" i="2"/>
  <c r="F20" i="2"/>
  <c r="E20" i="2"/>
  <c r="D20" i="2"/>
  <c r="F19" i="2"/>
  <c r="E19" i="2"/>
  <c r="D19" i="2"/>
  <c r="F18" i="2"/>
  <c r="E18" i="2"/>
  <c r="D18" i="2"/>
  <c r="F17" i="2"/>
  <c r="E17" i="2"/>
  <c r="D17" i="2"/>
  <c r="B13" i="2"/>
  <c r="B12" i="2"/>
  <c r="B11" i="2"/>
  <c r="B10" i="2"/>
  <c r="B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a p antunes antunes</author>
  </authors>
  <commentList>
    <comment ref="C30" authorId="0" shapeId="0" xr:uid="{49BE48DC-781C-419B-8647-806369B7E878}">
      <text>
        <r>
          <rPr>
            <b/>
            <sz val="9"/>
            <color indexed="81"/>
            <rFont val="Segoe UI"/>
            <charset val="1"/>
          </rPr>
          <t>jose a p antunes antunes:</t>
        </r>
        <r>
          <rPr>
            <sz val="9"/>
            <color indexed="81"/>
            <rFont val="Segoe UI"/>
            <charset val="1"/>
          </rPr>
          <t xml:space="preserve">
Duration modificada dada, vinda do Módulo 3 (NTN-F de 504 du a 13,02%). Input azul: pode ser atualizada.</t>
        </r>
      </text>
    </comment>
    <comment ref="A65" authorId="0" shapeId="0" xr:uid="{9FB4FDC8-A292-4E0F-90F5-6510F3D8F8C8}">
      <text>
        <r>
          <rPr>
            <b/>
            <sz val="9"/>
            <color indexed="81"/>
            <rFont val="Segoe UI"/>
            <charset val="1"/>
          </rPr>
          <t>jose a p antunes antunes:</t>
        </r>
        <r>
          <rPr>
            <sz val="9"/>
            <color indexed="81"/>
            <rFont val="Segoe UI"/>
            <charset val="1"/>
          </rPr>
          <t xml:space="preserve">
α fixo em 110% — é o caso da discursiva 8 da avaliação.</t>
        </r>
      </text>
    </comment>
  </commentList>
</comments>
</file>

<file path=xl/sharedStrings.xml><?xml version="1.0" encoding="utf-8"?>
<sst xmlns="http://schemas.openxmlformats.org/spreadsheetml/2006/main" count="348" uniqueCount="319">
  <si>
    <t>Simulador 13 · O segundo preço — LFT, spread duration, indexador e gross-up</t>
  </si>
  <si>
    <t>Módulo 3 · Bloco 4 (seções 4.1, 4.2, 4.4, 4.5 e 4.6 — slides 16 a 22) — Instruções de uso</t>
  </si>
  <si>
    <t>O que este simulador faz</t>
  </si>
  <si>
    <t>Mede o segundo preço da renda fixa — o spread — em quatro formas: no deságio da LFT (o pós-fixado que não vale o par), na spread duration (o DV01 que não é de juros), na conversão de indexador (% do CDI ↔ CDI + spread) e no imposto (o gross-up de LCI/LCA e o custo all-in da captação). Todos os defaults reproduzem os casos dos slides 16 a 22.</t>
  </si>
  <si>
    <t>"O pós-fixado zera o relógio do juro todos os dias; o relógio do spread corre até o vencimento."</t>
  </si>
  <si>
    <t>A dobradiça do módulo</t>
  </si>
  <si>
    <t>A LFT deveria valer o VNA. Quando não vale, o desvio é um spread — e é por aqui que o curso sai do juro e entra no crédito. Antes de comparar duas taxas, ponha as duas na mesma régua: mesma base (bruta), mesmo formato (spread multiplicativo) e mesmo prazo.</t>
  </si>
  <si>
    <t>As duas durations</t>
  </si>
  <si>
    <t>A conversão de indexador, por extenso</t>
  </si>
  <si>
    <t>Cadeia diária:  i_d = (1+CDI)^(1/252) − 1  →  i_d × α  →  (1 + i_d×α)^252 − 1  →  spread = (1 + taxa efetiva)/(1 + CDI) − 1.</t>
  </si>
  <si>
    <t>Atalho fechado:  spread = (1 + CDI)^(α − 1) − 1  →  taxa efetiva = (1 + CDI)^α − 1.</t>
  </si>
  <si>
    <t>Atenção (nota de método, verificada na planilha): os dois caminhos NÃO são algebricamente idênticos. Multiplicar a taxa diária por α não é o mesmo que elevar o fator anual a α. Com CDI 13,60% e α = 108%, a cadeia diária devolve 14,7645% e CDI + 1,0250% — exatamente os números do slide 20 — e o atalho fechado devolve 14,7648% e CDI + 1,0253%. A diferença de 0,3 bp é de método, não de arredondamento intermediário. O arquivo exibe as duas colunas e usa o atalho fechado nas tabelas de referência; a tolerância da aba Cenários (0,02 p.p.) aceita as duas leituras. Nenhuma das duas está errada — é a diferença entre a conta da tela e a conta do slide, e vale dizer isso ao aluno.</t>
  </si>
  <si>
    <t>⚠ ARMADILHA DE MESA — a subtração de taxas</t>
  </si>
  <si>
    <t>"CDI + spread não se extrai por diferença de taxas anuais. Com CDI a 13,60%, 108% do CDI é CDI + 1,0253% — e não os 1,1648 p.p. da subtração. O erro de 14 bps é pequeno na tela e grande no lote."</t>
  </si>
  <si>
    <t>⚠ ARMADILHA DE MESA — o indexador relativo</t>
  </si>
  <si>
    <t>"Os mesmos 108% do CDI valem CDI + 1,03 com o CDI a 13,60% e CDI + 0,47 com o CDI a 6,00%. Quem compra % do CDI vê o prêmio derreter junto com a Selic; quem negociou CDI + spread fixo mantém o excesso."</t>
  </si>
  <si>
    <t>⚠ ARMADILHA DE MESA — a taxa de tela isenta</t>
  </si>
  <si>
    <t>"Uma LCI a 90% do CDI paga mais, para a pessoa física, que um CDB a 100%. Comparar sem gross-up é comparar laranja com maçã — e a isenção é privilégio regulatório, não lei da natureza."</t>
  </si>
  <si>
    <t>Nota de escopo</t>
  </si>
  <si>
    <t>Este arquivo trata do segundo preço (spread sobre a curva de um papel bancário). O terceiro preço — crédito corporativo, debênture, taxa indicativa ANBIMA — fica no laboratório online (cenário 3.3) e no Módulo 4.</t>
  </si>
  <si>
    <t>Como usar</t>
  </si>
  <si>
    <t>Aba Simulador: edite apenas as células azuis (VNA, deságio, prazo, valor da posição, choque de spread, CDI, α, taxa isenta, alíquota de IR, spread contratado, compulsório, FGC e spread fiscal). Todo o resto é calculado e está bloqueado.</t>
  </si>
  <si>
    <t>Aba Cenários: responda nas células azuis; a verificação contra o gabarito por fórmula é automática. Tolerâncias: 0,02 p.p. (taxas e spreads), 0,05 p.p. (variações de PU), R$ 500/bp (DV01) e 0,2 p.p. (gross-up).</t>
  </si>
  <si>
    <t>Convenções: base 252 dias úteis e capitalização composta em todo o arquivo. Cotação em % com 4 casas.</t>
  </si>
  <si>
    <t>Aviso: dados ilustrativos, com fins didáticos. Em aplicação real, use VNA e cotações divulgados por ANBIMA/Tesouro, a tabela regressiva de IR vigente, as alíquotas de compulsório do BCB e a contribuição ao FGC em vigor.</t>
  </si>
  <si>
    <t>Duration de JUROS</t>
  </si>
  <si>
    <t>SPREAD duration</t>
  </si>
  <si>
    <t>Relógio</t>
  </si>
  <si>
    <t>Reinicia a cada dia útil</t>
  </si>
  <si>
    <t>Corre até o vencimento</t>
  </si>
  <si>
    <t>Tamanho num pós-fixado</t>
  </si>
  <si>
    <t>≈ 1 du → ≈ 0</t>
  </si>
  <si>
    <t>≈ du/252, como num prefixado</t>
  </si>
  <si>
    <t>O que a move</t>
  </si>
  <si>
    <t>COPOM, curva de DI</t>
  </si>
  <si>
    <t>Oferta do papel, crédito do emissor, apetite</t>
  </si>
  <si>
    <t>Some quando o papel é pós?</t>
  </si>
  <si>
    <t>Sim</t>
  </si>
  <si>
    <t>NÃO</t>
  </si>
  <si>
    <t xml:space="preserve"> </t>
  </si>
  <si>
    <t>Módulo 3 · Bloco 4 (slides 16 a 22)  |  o pós-fixado zera o relógio do juro todos os dias; o relógio do spread corre até o vencimento</t>
  </si>
  <si>
    <t>BLOCO 1 — LFT: par, ágio e deságio</t>
  </si>
  <si>
    <t>VNA (R$, o par em base 100)</t>
  </si>
  <si>
    <t>Deságio (a.a., base 252)</t>
  </si>
  <si>
    <t>Prazo (du)</t>
  </si>
  <si>
    <t>Valor da posição (R$)</t>
  </si>
  <si>
    <t>Cotação = 100% / (1+deságio)^(du/252), em 4 casas</t>
  </si>
  <si>
    <t>PU = VNA × cotação/100 (R$)</t>
  </si>
  <si>
    <t>Variação vs. par (%)</t>
  </si>
  <si>
    <t>Variação sobre a posição (R$)</t>
  </si>
  <si>
    <t>Rótulo automático</t>
  </si>
  <si>
    <t>Mini-tabela de referência (calculada) — os casos dos slides 16 e 17</t>
  </si>
  <si>
    <t>Papel</t>
  </si>
  <si>
    <t>du</t>
  </si>
  <si>
    <t>Deságio</t>
  </si>
  <si>
    <t>Cotação</t>
  </si>
  <si>
    <t>Variação vs. par</t>
  </si>
  <si>
    <t>Variação na posição (R$)</t>
  </si>
  <si>
    <t>LFT 5 anos</t>
  </si>
  <si>
    <t>LFT 2 anos</t>
  </si>
  <si>
    <t>De onde vem o deságio: oferta pesada de LFT (leilões e carteira dos bancos), custo de balanço de quem carrega o papel e prêmio de liquidez. O CDI não precisa se mover para o PU cair — basta o mercado pedir mais spread.</t>
  </si>
  <si>
    <t>Nota de método: a cotação é levada a 4 casas com ARRED (e o PU herda esse arredondamento), convenção que reproduz os casos dos slides 16 e 17 (98,5134% e 97,5371%). Truncar em vez de arredondar devolveria 97,5370% e 95,1465%.</t>
  </si>
  <si>
    <t>BLOCO 2 — Spread duration: as duas colunas que nunca se misturam</t>
  </si>
  <si>
    <t>Choque de spread (bps)</t>
  </si>
  <si>
    <t>Valor de cada posição (R$)</t>
  </si>
  <si>
    <t>Duration de juros (anos)</t>
  </si>
  <si>
    <t>DV01 juros (R$/bp)</t>
  </si>
  <si>
    <t>Spread duration (anos)</t>
  </si>
  <si>
    <t>DV01 spread (R$/bp)</t>
  </si>
  <si>
    <t>Perda no choque, pela reta (R$)</t>
  </si>
  <si>
    <t>NTN-F 504 du (prefixado)</t>
  </si>
  <si>
    <t>LFT 1.260 du (pós-fixada)</t>
  </si>
  <si>
    <t>LF CDI + 0,90, 2 anos</t>
  </si>
  <si>
    <t>CDB CDI diário</t>
  </si>
  <si>
    <t>Reapreçamento exato da LF de 2 anos (CDI parado — só o spread se move)</t>
  </si>
  <si>
    <t>Spread contratado da LF (a.a.)</t>
  </si>
  <si>
    <t>Spread novo = contratado + choque</t>
  </si>
  <si>
    <t>Variação exata do PU = ((1+s_velho)/(1+s_novo))^(du/252) − 1</t>
  </si>
  <si>
    <t>Perda exata sobre a posição (R$)</t>
  </si>
  <si>
    <t>Perda pela reta (DV01 spread × choque), R$</t>
  </si>
  <si>
    <t>Diferença (exato − reta), R$</t>
  </si>
  <si>
    <t>Precedente histórico: em 2002 e no fim de 2024, a abertura do deságio da LFT levou fundos DI — vendidos como "sem risco" — a cota negativa. O juro estava parado; o spread, não.</t>
  </si>
  <si>
    <t>BLOCO 3 — % do CDI × CDI + spread: a conversão passo a passo</t>
  </si>
  <si>
    <t>CDI (a.a., base 252)</t>
  </si>
  <si>
    <t>α (% do CDI contratado)</t>
  </si>
  <si>
    <t>Passo</t>
  </si>
  <si>
    <t>Resultado</t>
  </si>
  <si>
    <t>O que é</t>
  </si>
  <si>
    <t>1. i_d = (1+CDI)^(1/252) − 1</t>
  </si>
  <si>
    <t>a taxa diária equivalente ao CDI</t>
  </si>
  <si>
    <t>2. i_d × α</t>
  </si>
  <si>
    <t>o percentual incide sobre a taxa DIÁRIA</t>
  </si>
  <si>
    <t>3. (1 + passo 2)^252 − 1</t>
  </si>
  <si>
    <t>taxa efetiva a.a. pela cadeia diária</t>
  </si>
  <si>
    <t>4. spread = (1 + passo 3)/(1 + CDI) − 1</t>
  </si>
  <si>
    <t>CDI + spread pela cadeia diária (é a conta do slide 20)</t>
  </si>
  <si>
    <t>5. Atalho fechado: spread = (1+CDI)^(α−1) − 1</t>
  </si>
  <si>
    <t>razão dos fatores anuais — referência usada nas tabelas deste arquivo</t>
  </si>
  <si>
    <t>5b. Taxa efetiva pelo atalho = (1+CDI)^α − 1</t>
  </si>
  <si>
    <t>6a. Erro "de cabeça": (α − 1) × CDI</t>
  </si>
  <si>
    <t>6b. Erro "subtração de taxas": taxa efetiva − CDI</t>
  </si>
  <si>
    <t>Tabela de sensibilidade — o indexador relativo (calculada pelo atalho fechado)</t>
  </si>
  <si>
    <t>α (% do CDI)</t>
  </si>
  <si>
    <t>CDI a.a.</t>
  </si>
  <si>
    <t>Taxa efetiva a.a.</t>
  </si>
  <si>
    <t>Spread correto</t>
  </si>
  <si>
    <t>Subtração de taxas</t>
  </si>
  <si>
    <t>Erro da subtração (bps)</t>
  </si>
  <si>
    <t>BLOCO 4 — O spread fiscal: gross-up de LCI/LCA</t>
  </si>
  <si>
    <t>Taxa isenta contratada (% do CDI)</t>
  </si>
  <si>
    <t>Alíquota de IR (tabela regressiva: 22,5% ≤180d · 20,0% 181-360 · 17,5% 361-720 · 15,0% &gt;720)</t>
  </si>
  <si>
    <t>CDB equivalente = taxa isenta / (1 − alíquota)</t>
  </si>
  <si>
    <t>LCI</t>
  </si>
  <si>
    <t>Alíquota</t>
  </si>
  <si>
    <t>CDB equivalente</t>
  </si>
  <si>
    <t>⚠ A isenção é privilégio regulatório, não lei da natureza — o tema voltou ao debate legislativo em 2025; quem precifica LCI/LCA sem risco regulatório carrega ponto cego.</t>
  </si>
  <si>
    <t>BLOCO 5 — Custo all-in da captação (slide 22)</t>
  </si>
  <si>
    <t>Spread contratado (CDI + x, a.a.)</t>
  </si>
  <si>
    <t>Alíquota de compulsório</t>
  </si>
  <si>
    <t>Remuneração do compulsório (Selic ou zero)</t>
  </si>
  <si>
    <t>Selic</t>
  </si>
  <si>
    <t>Contribuição ao FGC (a.a.)</t>
  </si>
  <si>
    <t>Spread fiscal capturado (a.a.)</t>
  </si>
  <si>
    <t>Custo no funding livre = (spread + FGC − spread fiscal) / (1 − compulsório)</t>
  </si>
  <si>
    <t>Referência do slide 22: a mesma conta com FGC e spread fiscal em zero</t>
  </si>
  <si>
    <t>Se o compulsório não for remunerado ("zero"), a parcela recolhida deixa de render o CDI e o custo incorpora também esse carrego: (spread + FGC − fiscal + compulsório × CDI) / (1 − compulsório), com o CDI do bloco 3.</t>
  </si>
  <si>
    <t>Instrumento</t>
  </si>
  <si>
    <t>Custo all-in</t>
  </si>
  <si>
    <t>Estabilidade do passivo</t>
  </si>
  <si>
    <t>Lastro disponível</t>
  </si>
  <si>
    <t>CDB com liquidez diária</t>
  </si>
  <si>
    <t>menor spread de tela, mas compulsório e FGC cheios</t>
  </si>
  <si>
    <t>baixa — resgate a qualquer dia</t>
  </si>
  <si>
    <t>irrestrito</t>
  </si>
  <si>
    <t>LCI / LCA</t>
  </si>
  <si>
    <t>o mais baixo, pelo spread fiscal capturado</t>
  </si>
  <si>
    <t>limitado ao lastro imobiliário / agro</t>
  </si>
  <si>
    <t>LF (Letra Financeira)</t>
  </si>
  <si>
    <t>spread maior, sem compulsório</t>
  </si>
  <si>
    <t>alta — prazo mínimo e sem resgate antecipado</t>
  </si>
  <si>
    <t>irrestrito, sujeito a limite de emissão</t>
  </si>
  <si>
    <t>Regra de ouro: compare custos só depois de igualar prazo e estabilidade ao ativo financiado. Comparar CDB diário com LF de 24 meses sem ajustar o prazo é erro metodológico, não otimização.</t>
  </si>
  <si>
    <t>Área auxiliar do gráfico — spread equivalente de α% do CDI em cada nível de CDI</t>
  </si>
  <si>
    <t>Spread equivalente</t>
  </si>
  <si>
    <t>Marcadores (6,00% · 12,40% · 13,60%)</t>
  </si>
  <si>
    <t>Cenários · Simulador 13 — O segundo preço</t>
  </si>
  <si>
    <t>Responda nas células azuis. A verificação contra o gabarito (calculado por fórmula a partir da aba Simulador) é automática. Tolerâncias: 0,02 p.p. para taxas e spreads, 0,05 p.p. para variações de PU, R$ 500/bp para DV01 e 0,2 p.p. para gross-up.</t>
  </si>
  <si>
    <t>CENÁRIO A — A LFT que cai  (discursiva 9)</t>
  </si>
  <si>
    <t>Uma LFT de 5 anos (1.260 du) tem o deságio elevado de 0,00% para 0,50%, com o CDI parado. Qual a nova cotação e qual a variação do PU?</t>
  </si>
  <si>
    <t>Item</t>
  </si>
  <si>
    <t>Sua resposta</t>
  </si>
  <si>
    <t>Gabarito</t>
  </si>
  <si>
    <t>Tolerância</t>
  </si>
  <si>
    <t>Verificação</t>
  </si>
  <si>
    <t>Nova cotação (em %, ex.: 97,5371)</t>
  </si>
  <si>
    <t>Variação do PU (em %, ex.: −2,46)</t>
  </si>
  <si>
    <t>Nota: o gabarito vem da mini-tabela da aba Simulador (1.260 du, deságio de 0,50%), com a cotação em 4 casas.</t>
  </si>
  <si>
    <t>CENÁRIO B — As duas colunas</t>
  </si>
  <si>
    <t>Para R$ 100 milhões em LF de 2 anos (504 du): qual o DV01 de juros e qual o DV01 de spread?</t>
  </si>
  <si>
    <t>DV01 de juros (R$/bp)</t>
  </si>
  <si>
    <t>DV01 de spread (R$/bp)</t>
  </si>
  <si>
    <t>Por que o DV01 de juros é praticamente zero? (escolha na lista)</t>
  </si>
  <si>
    <t>Gabarito: o indexador repactua no dia útil seguinte</t>
  </si>
  <si>
    <t>CENÁRIO C — O slogan  (discursiva 6)</t>
  </si>
  <si>
    <t>"Pós-fixado não tem risco." Marque o que está certo e o que está errado na frase (escolha na lista) e cite o episódio histórico.</t>
  </si>
  <si>
    <t>A frase está...</t>
  </si>
  <si>
    <t>Episódio histórico (texto livre)</t>
  </si>
  <si>
    <t>Mostrar resposta-modelo? (digite SIM)</t>
  </si>
  <si>
    <t>CENÁRIO D — A conversão  (discursiva 8)</t>
  </si>
  <si>
    <t>Converta 110% do CDI para "CDI + spread" com o CDI a 13,60%, pelo método multiplicativo. Qual o spread, e qual o erro da conta de cabeça (1,10 × 13,60%)?</t>
  </si>
  <si>
    <t>Premissas (azuis): α</t>
  </si>
  <si>
    <t>Premissas (azuis): CDI a.a.</t>
  </si>
  <si>
    <t>Item (em p.p., ex.: 1,2833)</t>
  </si>
  <si>
    <t>Spread correto (atalho fechado)</t>
  </si>
  <si>
    <t>Conta de cabeça (α − 1) × CDI</t>
  </si>
  <si>
    <t>Subtração de taxas (taxa efetiva − CDI)</t>
  </si>
  <si>
    <t>CENÁRIO E — O gross-up e o custo all-in  (discursiva 7)</t>
  </si>
  <si>
    <t>Faça o gross-up de uma LCI a 92% do CDI para o CDB equivalente, com alíquota de 17,5%. E depois: quanto custa, no funding livre, um CDB a CDI + 1,00 com compulsório de 20% remunerado à Selic (FGC e spread fiscal em zero)?</t>
  </si>
  <si>
    <t>Premissas (azuis): LCI (% do CDI)</t>
  </si>
  <si>
    <t>Premissas (azuis): alíquota de IR</t>
  </si>
  <si>
    <t>Premissas (azuis): spread contratado e compulsório</t>
  </si>
  <si>
    <t>CDB equivalente (em % do CDI, ex.: 111,52)</t>
  </si>
  <si>
    <t>Custo no funding livre (spread em p.p., ex.: 1,25)</t>
  </si>
  <si>
    <t>CENÁRIO F — O indexador relativo  (texto livre)</t>
  </si>
  <si>
    <t>"Um cliente quer travar 108% do CDI por 5 anos e diz que 'o percentual protege dos cortes de juros'. O que você responde?"</t>
  </si>
  <si>
    <t>CENÁRIO G — A régua comum</t>
  </si>
  <si>
    <t>Ordene as três propostas, do melhor para o pior, para a pessoa física: (i) CDB a 108% do CDI, (ii) LCI a 90% do CDI, (iii) LF a CDI + 1,00%. A régua comum é a base BRUTA em % do CDI.</t>
  </si>
  <si>
    <t>CDI (vem do bloco 3 da aba Simulador)</t>
  </si>
  <si>
    <t>Alíquota de IR da PF (vem do bloco 4 da aba Simulador)</t>
  </si>
  <si>
    <t>Proposta</t>
  </si>
  <si>
    <t>Contratada</t>
  </si>
  <si>
    <t>Equivalente bruto (% do CDI)</t>
  </si>
  <si>
    <t>Ordem (1 = melhor)</t>
  </si>
  <si>
    <t>(i) CDB</t>
  </si>
  <si>
    <t>(ii) LCI (isenta → gross-up)</t>
  </si>
  <si>
    <t>(iii) LF a CDI + spread</t>
  </si>
  <si>
    <t>Equivalência da LF: α = 1 + LN(1+spread)/LN(1+CDI) — é o inverso do atalho fechado spread = (1+CDI)^(α−1) − 1.</t>
  </si>
  <si>
    <t>1º lugar (escolha na lista)</t>
  </si>
  <si>
    <t>2º lugar</t>
  </si>
  <si>
    <t>3º lugar</t>
  </si>
  <si>
    <t>Aviso: dados ilustrativos, com fins didáticos. Não constituem recomendação nem refletem preços de mercado.</t>
  </si>
  <si>
    <t>Gabarito: certo quanto ao juro — errado quanto ao spread</t>
  </si>
  <si>
    <t>Área auxiliar — opções das listas</t>
  </si>
  <si>
    <t>o indexador repactua no dia útil seguinte</t>
  </si>
  <si>
    <t>o papel não tem prazo</t>
  </si>
  <si>
    <t>o spread é fixo em contrato</t>
  </si>
  <si>
    <t>certo quanto ao juro e ao spread</t>
  </si>
  <si>
    <t>certo quanto ao juro — errado quanto ao spread</t>
  </si>
  <si>
    <t>errado quanto ao juro — certo quanto ao spread</t>
  </si>
  <si>
    <t>zero</t>
  </si>
  <si>
    <t>média — carência legal</t>
  </si>
  <si>
    <t>Prompt utilizado para gerar este simulador</t>
  </si>
  <si>
    <t>Arquivo: simulador-segundo-preco.xlsx  ·  Data de geração: Tue Sep 08 2026</t>
  </si>
  <si>
    <t># Spec — Simulador 13 · O segundo preço (LFT, spread duration, indexador e gross-up)</t>
  </si>
  <si>
    <t>&gt; Prompt para o Claude for Excel. Crie um arquivo `simulador-segundo-preco.xlsx` seguindo integralmente esta especificação. Ao final, cole o texto completo deste documento na aba "Prompt".</t>
  </si>
  <si>
    <t>## 1. Contexto e objetivo</t>
  </si>
  <si>
    <t>Simulador do Módulo 3, Bloco 4 — O segundo preço: spread sobre a curva (seções 4.1, 4.2, 4.4, 4.5 e 4.6; slides 16 a 22). É o bloco mais denso em conta do módulo e hoje não tem nenhum recurso de cálculo: LFT, spread duration, conversão de indexador e gross-up são inteiramente expositivos em sala e caem nas discursivas 6 a 9 da avaliação sem gabarito automático.</t>
  </si>
  <si>
    <t>Quatro competências, em ordem:</t>
  </si>
  <si>
    <t>1. A LFT que não vale o par: PU = VNA × cotação, com cotação = 100% / (1 + deságio)^(du/252) — ver o "pós-fixado sem risco" cair 2,46% com o CDI parado;</t>
  </si>
  <si>
    <t>2. As duas colunas que nunca se misturam: DV01 de juros ≈ zero e DV01 de spread ≈ du/252 × valor × 0,0001 — "o juro reinicia a cada dia útil; o spread corre até o vencimento";</t>
  </si>
  <si>
    <t>3. Converter indexador sem mentir: % do CDI → CDI + spread pela razão dos fatores, com o atalho fechado e a demonstração de que o prêmio derrete quando o CDI cai;</t>
  </si>
  <si>
    <t>4. O spread fiscal e o custo all-in: gross-up de LCI/LCA para base bruta e o custo real de uma captação depois de compulsório, FGC e prazo.</t>
  </si>
  <si>
    <t>Mensagem pedagógica central (deve aparecer na Instruções e no fechamento da Simulador):</t>
  </si>
  <si>
    <t>E a regra que costura o arquivo: antes de comparar duas taxas, ponha as duas na mesma régua — mesma base (bruta), mesmo formato (spread multiplicativo) e mesmo prazo.</t>
  </si>
  <si>
    <t>Fonte da verdade: a apostila `Material de Estudo - Modulo 3` (Bloco 4) e os slides 16 a 22. Todo default reproduz o material.</t>
  </si>
  <si>
    <t>## 2. Estrutura do arquivo (4 abas, nesta ordem)</t>
  </si>
  <si>
    <t>1. Instruções · 2. Simulador · 3. Cenários · 4. Prompt</t>
  </si>
  <si>
    <t>## 3. Convenções visuais</t>
  </si>
  <si>
    <t>Padrão do curso: fundo branco, Arial, títulos #002C4D (negrito), texto #202427, resultados #0C63AA (negrito, 14pt), inputs #DCE9F5 desbloqueados; o resto bloqueado (proteção sem senha). Taxas e spreads em % com 4 casas; cotação em % com 4 casas (truncada); DV01 em R$/bp com separador de milhar; variações de PU em % com 2 casas. Negativos em vermelho. Base 252 dias úteis, capitalização composta, em todo o arquivo.</t>
  </si>
  <si>
    <t>## 4. Aba "Instruções"</t>
  </si>
  <si>
    <t>- O que este simulador faz (1 parágrafo): mede o segundo preço da renda fixa — o spread — em quatro formas: no deságio da LFT, na spread duration, na conversão de indexador e no imposto.</t>
  </si>
  <si>
    <t>- A dobradiça do módulo (caixa): a LFT deveria valer o VNA. Quando não vale, o desvio é um spread. É por aqui que o curso sai do juro e entra no crédito.</t>
  </si>
  <si>
    <t>- As duas durations, em quadro de duas colunas:</t>
  </si>
  <si>
    <t xml:space="preserve">   Relógio | Duration de juros: reinicia a cada dia útil | Spread duration: corre até o vencimento</t>
  </si>
  <si>
    <t xml:space="preserve">   Tamanho num pós-fixado | ≈ 1 du → ≈ 0 | ≈ du/252, como num prefixado</t>
  </si>
  <si>
    <t xml:space="preserve">   O que a move | COPOM, curva de DI | Oferta do papel, crédito do emissor, apetite</t>
  </si>
  <si>
    <t xml:space="preserve">   Some quando o papel é pós? | Sim | Não</t>
  </si>
  <si>
    <t>- A conversão de indexador, por extenso: i_d = (1+CDI)^(1/252) − 1 → i_d × α → (1 + i_d×α)^252 − 1 → spread = (1 + taxa efetiva)/(1 + CDI) − 1. E o atalho fechado, algebricamente idêntico: spread = (1 + CDI)^(α−1) − 1.</t>
  </si>
  <si>
    <t>- ⚠ ARMADILHA DE MESA — a subtração de taxas. "CDI + spread não se extrai por diferença de taxas anuais. Com CDI a 13,60%, 108% do CDI é CDI + 1,0253% — e não os 1,1648 p.p. da subtração. O erro de 14 bps é pequeno na tela e grande no lote."</t>
  </si>
  <si>
    <t>- ⚠ ARMADILHA DE MESA — o indexador relativo. "Os mesmos 108% do CDI valem CDI + 1,03 com o CDI a 13,60% e CDI + 0,47 com o CDI a 6,00%. Quem compra % do CDI vê o prêmio derreter junto com a Selic; quem negociou CDI + spread fixo mantém o excesso."</t>
  </si>
  <si>
    <t>- ⚠ ARMADILHA DE MESA — a taxa de tela isenta. "Uma LCI a 90% do CDI paga mais, para a pessoa física, que um CDB a 100%. Comparar sem gross-up é comparar laranja com maçã — e a isenção é privilégio regulatório, não lei da natureza."</t>
  </si>
  <si>
    <t>- Nota de escopo: este arquivo trata do segundo preço (spread sobre a curva de um papel bancário). O terceiro preço — crédito corporativo, debênture, taxa indicativa ANBIMA — fica no laboratório online (cenário 3.3) e no Módulo 4.</t>
  </si>
  <si>
    <t>- Aviso: dados ilustrativos, com fins didáticos. Em aplicação real, use VNA e cotações divulgados por ANBIMA/Tesouro, a tabela regressiva de IR vigente, as alíquotas de compulsório do BCB e a contribuição ao FGC em vigor.</t>
  </si>
  <si>
    <t>## 5. Aba "Simulador"</t>
  </si>
  <si>
    <t>### 5.1 Bloco "LFT: par, ágio e deságio"</t>
  </si>
  <si>
    <t>Inputs azuis: VNA (R$) default 100,00 (o par em base 100) · deságio (a.a.) default 0,50% · prazo (du) default 1.260 · valor da posição (R$) default 100.000.000.</t>
  </si>
  <si>
    <t>Calculados: cotação = 100% / (1+deságio)^(du/252) (truncada em 4 casas) · PU = VNA × cotação/100 · variação vs. par (%) · variação em reais sobre a posição · rótulo automático ÁGIO / PAR / DESÁGIO.</t>
  </si>
  <si>
    <t>Mini-tabela de referência (calculada, não editável) — os casos do slide 16 e 17:</t>
  </si>
  <si>
    <t xml:space="preserve">   LFT 5 anos | 1.260 | 0,30% | 98,5134% | −1,4866%</t>
  </si>
  <si>
    <t xml:space="preserve">   LFT 5 anos | 1.260 | 0,50% | 97,5371% | −2,4629%</t>
  </si>
  <si>
    <t xml:space="preserve">   LFT 5 anos | 1.260 | 1,00% | 95,1466% | −4,8534%</t>
  </si>
  <si>
    <t xml:space="preserve">   LFT 2 anos | 504 | 0,50% | 99,0075% | −0,9925%</t>
  </si>
  <si>
    <t>Leitura automática: "o mesmo deságio dói o dobro no papel de 5 anos: a sensibilidade ao spread cresce com o prazo, exatamente como num prefixado." E a nota de origem do deságio (oferta pesada de LFT, custo de balanço, prêmio de liquidez).</t>
  </si>
  <si>
    <t>### 5.2 Bloco "Spread duration: as duas colunas"</t>
  </si>
  <si>
    <t>Tabela com quatro posições de R$ 100 milhões cada, colunas: Papel · du · Duration de juros · DV01 juros (R$/bp) · Spread duration · DV01 spread (R$/bp).</t>
  </si>
  <si>
    <t xml:space="preserve">   NTN-F 504 du (prefixado) | 504 | 1,6464 | 16.464 | 0,00 | 0</t>
  </si>
  <si>
    <t xml:space="preserve">   LFT 1.260 du | 1.260 | 1/252 ≈ 0,004 | ≈ 40 | 5,00 | 50.000</t>
  </si>
  <si>
    <t xml:space="preserve">   LF CDI + 0,90, 2 anos | 504 | 1/252 ≈ 0,004 | ≈ 40 | 2,00 | 20.000</t>
  </si>
  <si>
    <t xml:space="preserve">   CDB CDI diário | 1 | 1/252 | ≈ 40 | ≈ 0,004 | ≈ 40</t>
  </si>
  <si>
    <t>Input azul: choque de spread (bps), default +50. Calculados: perda por papel pela reta (DV01 spread × choque) e o reapreçamento exato da LF (((1+s_novo)/(1+s_velho))^(du/252) − 1).</t>
  </si>
  <si>
    <t>Resultado esperado (critério de aceite): LF de 2 anos, spread de 0,90% → 1,40%: reta −R$ 1.000.000 (−1,00%) e exato −0,9838% → −R$ 983.800, com o CDI parado.</t>
  </si>
  <si>
    <t>Leitura automática obrigatória: "Migrar a NTN-F para a LF troca R$ 16.464/bp de DV01 de juros por R$ 20.000/bp de DV01 de spread. O risco não sumiu: mudou de coluna — e ficou maior. É a resposta (iii) do comitê." Referência ao precedente histórico (2002 e fim de 2024: fundos "sem risco" com cota negativa).</t>
  </si>
  <si>
    <t>### 5.3 Bloco "% do CDI × CDI + spread" (a conversão, passo a passo)</t>
  </si>
  <si>
    <t>Inputs azuis: CDI (a.a.) default 13,60% · α (% do CDI) default 108%.</t>
  </si>
  <si>
    <t>Cascata visível, uma linha por passo (nada de caixa-preta):</t>
  </si>
  <si>
    <t>1. i_d = (1+CDI)^(1/252) − 1 → 0,050613% a.d.</t>
  </si>
  <si>
    <t>2. i_d × α → 0,054662% a.d.</t>
  </si>
  <si>
    <t>3. (1 + passo 2)^252 − 1 → 14,7648% a.a.</t>
  </si>
  <si>
    <t>4. spread = (1 + passo 3)/(1 + CDI) − 1 → CDI + 1,0253%</t>
  </si>
  <si>
    <t>5. Atalho fechado: (1+CDI)^(α−1) − 1 → 1,0253% — e a nota de que os passos 1 a 3 se cancelam algebricamente</t>
  </si>
  <si>
    <t>6. Os dois erros comuns, lado a lado: "de cabeça" (α−1)×CDI = 1,0880 p.p. e "subtração de taxas" = 1,1648 p.p. (erro de +13,9 bps contra o correto)</t>
  </si>
  <si>
    <t>Tabela de sensibilidade (calculada) — o indexador relativo:</t>
  </si>
  <si>
    <t xml:space="preserve">   13,60% | 14,7648% | 1,0253% | 1,1648 p.p. | +13,9 bps</t>
  </si>
  <si>
    <t xml:space="preserve">   12,40% | 13,4560% | 0,9395% | 1,0560 p.p. | +11,7 bps</t>
  </si>
  <si>
    <t xml:space="preserve">   6,00% | 6,4953% | 0,4672% | 0,4953 p.p. | +2,8 bps</t>
  </si>
  <si>
    <t>Segunda linha da tabela para α = 110% (usada na discursiva 8): com CDI a 13,60%, taxa efetiva 15,0578% e spread 1,2833%.</t>
  </si>
  <si>
    <t>Leitura automática: "o mesmo papel, o mesmo percentual, e o prêmio cai de 1,03 para 0,47 quando o CDI vai de 13,60% para 6,00%. '% do CDI' é indexador relativo."</t>
  </si>
  <si>
    <t>Nota de conciliação com o slide 20 (obrigatória, em célula de texto). O slide traz 14,7645% e CDI + 1,0250%, porque carrega a taxa diária arredondada em 6 casas (0,054662%) antes de recompor os 252 dias. A cadeia sem arredondamento intermediário devolve 14,7648% e 1,0253% — a mesma diferença de 0,3 bp aparece nos demais níveis de CDI (13,4560 × 13,4558; 6,4953 × 6,4952). O simulador deve calcular sem arredondamento intermediário e exibir esta nota; a tolerância da aba Cenários (0,02 p.p.) aceita as duas leituras. Nenhuma das duas está errada: é a diferença entre a conta da tela e a conta do slide, e vale dizer isso ao aluno.</t>
  </si>
  <si>
    <t>### 5.4 Bloco "O spread fiscal: gross-up"</t>
  </si>
  <si>
    <t>Inputs azuis: taxa isenta (% do CDI) default 90% · alíquota de IR default 15,0% (lista com a tabela regressiva: 22,5% até 180 dias · 20,0% de 181 a 360 · 17,5% de 361 a 720 · 15,0% acima de 720).</t>
  </si>
  <si>
    <t>Calculado: CDB equivalente = taxa isenta / (1 − alíquota).</t>
  </si>
  <si>
    <t xml:space="preserve">   90% do CDI | 15,0% | 105,88%</t>
  </si>
  <si>
    <t xml:space="preserve">   90% do CDI | 22,5% | 116,13%</t>
  </si>
  <si>
    <t xml:space="preserve">   92% do CDI | 17,5% | 111,52%</t>
  </si>
  <si>
    <t>Leitura automática: "o investidor aceita taxa bruta menor porque não paga imposto; o banco captura parte do imposto que o Tesouro dispensa e capta abaixo do CDI." Caixa de alerta obrigatória: "isenção é privilégio regulatório, não lei da natureza — o tema voltou ao debate legislativo em 2025; quem precifica LCI/LCA sem risco regulatório carrega ponto cego."</t>
  </si>
  <si>
    <t>### 5.5 Bloco "Custo all-in da captação" (slide 22)</t>
  </si>
  <si>
    <t>Inputs azuis: spread contratado (CDI + x) default 1,00% · alíquota de compulsório default 20% · remuneração do compulsório (lista: Selic / zero) default Selic · contribuição ao FGC (a.a.) default 0,01% · spread fiscal capturado default 0,00%.</t>
  </si>
  <si>
    <t>Calculado: custo no funding livre = (spread + FGC − spread fiscal) / (1 − compulsório) quando o compulsório é remunerado à Selic.</t>
  </si>
  <si>
    <t>Resultado esperado: CDB a CDI + 1,00 com compulsório de 20% remunerado à Selic → CDI + 1,25 (a conta do slide 22, com FGC e spread fiscal em zero).</t>
  </si>
  <si>
    <t>Quadro qualitativo de três colunas ao lado (sem cálculo): custo all-in · estabilidade do passivo · lastro disponível, com a regra de ouro: "compare custos só depois de igualar prazo e estabilidade ao ativo financiado. Comparar CDB diário com LF de 24 meses sem ajustar o prazo é erro metodológico, não otimização."</t>
  </si>
  <si>
    <t>### 5.6 Gráfico</t>
  </si>
  <si>
    <t>Linha, eixo X = nível do CDI de 6% a 16% (passo de 1 p.p.), eixo Y = spread equivalente de α% do CDI (série calculada pelo atalho fechado), com α controlado pela célula azul do bloco 5.3. Título: "O prêmio derrete junto com o CDI: quanto vale 108% do CDI em cada nível de juro". Marcadores destacados em 6,00% · 12,40% · 13,60%.</t>
  </si>
  <si>
    <t>## 6. Aba "Cenários"</t>
  </si>
  <si>
    <t>Verificação automática padrão do curso; gabaritos por fórmula a partir da aba Simulador. Tolerâncias: 0,02 p.p. para taxas e spreads, 0,05 p.p. para variações de PU, R$ 500/bp para DV01, 0,2 p.p. para gross-up.</t>
  </si>
  <si>
    <t>- Cenário A · a LFT que cai. Uma LFT de 5 anos (1.260 du) tem o deságio elevado de 0,00% para 0,50%, com o CDI parado. Qual a nova cotação e a variação do PU? (97,5371% e −2,46%) — é a discursiva 9 da avaliação.</t>
  </si>
  <si>
    <t>- Cenário B · as duas colunas. Para R$ 100 mi em LF de 2 anos: qual o DV01 de juros e qual o DV01 de spread? (≈ R$ 40/bp e R$ 20.000/bp) — e a pergunta complementar em lista: por que o DV01 de juros é praticamente zero? (o indexador repactua no dia útil seguinte)</t>
  </si>
  <si>
    <t>- Cenário C · o slogan. "Pós-fixado não tem risco." Marque o que está certo e o que está errado na frase (lista de 3 opções; correta: "certo quanto ao juro, errado quanto ao spread") e cite o episódio histórico. Resposta-modelo: 2002 e fim de 2024, fundos DI com cota negativa por abertura do deságio da LFT. — é a discursiva 6.</t>
  </si>
  <si>
    <t>- Cenário D · a conversão. Converta 110% do CDI para "CDI + spread" com o CDI a 13,60%, pelo método multiplicativo. Qual o spread e qual o erro da conta de cabeça (1,10 × 13,60%)? (CDI + 1,2833%; a conta de cabeça dá 1,36 p.p. e a subtração de taxas 1,4578 p.p.) — é a discursiva 8.</t>
  </si>
  <si>
    <t>- Cenário E · o gross-up. Faça o gross-up de uma LCI a 92% do CDI para o CDB equivalente, com alíquota de 17,5%. E depois: quanto custa, no funding livre, um CDB a CDI + 1,00 com compulsório de 20%? (111,52% do CDI; CDI + 1,25) — é a discursiva 7.</t>
  </si>
  <si>
    <t>- Cenário F · o indexador relativo (texto livre, resposta-modelo agrupada). "Um cliente quer travar 108% do CDI por 5 anos e diz que 'o percentual protege dos cortes de juros'. O que você responde?" Resposta-modelo: o percentual incide sobre a taxa diária, então o prêmio em p.p. encolhe quando o CDI cai — de CDI + 1,03 a 13,60% para CDI + 0,47 a 6,00%. Quem quer proteger o excesso negocia CDI + spread fixo; quem compra % do CDI está comprando um prêmio proporcional, não fixo.</t>
  </si>
  <si>
    <t>- Cenário G · a régua comum. Ordene três propostas do melhor para o pior para a pessoa física com alíquota de 15%: (i) CDB a 108% do CDI, (ii) LCI a 90% do CDI, (iii) LF a CDI + 1,00%. (gabarito por fórmula: converter tudo para base bruta em % do CDI com o CDI a 13,60% — a LCI equivale a 105,88%, a LF a CDI + 1,00 equivale a ≈ 107,8% e o CDB é 108,0%; a resposta muda com o nível do CDI e com a alíquota, e a planilha deve recalcular a ordem automaticamente.)</t>
  </si>
  <si>
    <t>## 7. Aba "Prompt"</t>
  </si>
  <si>
    <t>Colar o texto integral desta especificação, com o título "Prompt utilizado para gerar este simulador" e a data de geração.</t>
  </si>
  <si>
    <t>## 8. Critérios de aceite</t>
  </si>
  <si>
    <t>- O bloco 5.1 reproduz 98,5134% / −1,49% para deságio de 0,30% e 97,5371% / −2,46% para 0,50%, ambos em 1.260 du — os dois casos dos slides 16 e 17.</t>
  </si>
  <si>
    <t>- O bloco 5.2 devolve DV01 spread de R$ 50.000/bp (LFT 1.260 du) e R$ 20.000/bp (LF 504 du) por R$ 100 mi, com DV01 de juros ≈ R$ 40/bp, e mostra o reapreçamento exato da LF em −0,9838% contra a reta de −1,00%.</t>
  </si>
  <si>
    <t>- A cascata 5.3 devolve, em ordem, 0,050613% · 0,054662% · 14,7648% · 1,0253% (com a nota de conciliação explicando o 14,7645% / 1,0250% do slide 20), e o atalho fechado devolve o mesmo 1,0253%; a tabela de sensibilidade acerta 1,0253 / 0,9395 / 0,4672 e a coluna de erro da subtração acerta +13,9 / +11,7 / +2,8 bps.</t>
  </si>
  <si>
    <t>- Para α = 110% e CDI = 13,60%, a taxa efetiva é 15,0578% e o spread 1,2833%.</t>
  </si>
  <si>
    <t>- O bloco 5.4 devolve 105,88% · 116,13% · 111,52% nos três casos de referência.</t>
  </si>
  <si>
    <t>- O bloco 5.5 devolve CDI + 1,25 para a captação a CDI + 1,00 com compulsório de 20%.</t>
  </si>
  <si>
    <t>- O gráfico mostra a curva do spread equivalente caindo com o CDI, com os três marcadores destacados.</t>
  </si>
  <si>
    <t>- Apenas células azuis editáveis; demais bloqueadas sem senha; aba Prompt com a spec na íntegra.</t>
  </si>
  <si>
    <t>- Nenhum número inventado: todos os casos vêm dos slides 16 a 22 e das discursivas 6 a 9 do `Avaliacao_Modulo3.docx`.</t>
  </si>
  <si>
    <t>## Notas de execução (divergências resolvidas na construção, para auditoria)</t>
  </si>
  <si>
    <t>1. Cotação da LFT: a spec pede a cotação "truncada" em 4 casas, mas os critérios de aceite (98,5134% / 97,5371% / 95,1466% / 99,0075%) correspondem a ARREDONDAMENTO em 4 casas — truncar devolveria 97,5370% e 95,1465%. O arquivo usa ARRED(...;4), e o PU herda esse arredondamento.</t>
  </si>
  <si>
    <t>2. Cascata do bloco 5.3: os passos 1 a 3 (multiplicar a taxa diária por α) NÃO se cancelam algebricamente contra o atalho fechado (1+CDI)^α. A cadeia diária devolve 14,7645% e CDI + 1,0250% — exatamente os números do slide 20 — e o atalho fechado devolve 14,7648% e CDI + 1,0253%. A diferença (0,0003 p.p.) é de MÉTODO, não de arredondamento intermediário, como supõe a nota de conciliação original. O arquivo exibe as duas contas lado a lado, usa o atalho fechado nas tabelas de referência (que é o que reproduz todos os aceites) e traz a nota reescrita.</t>
  </si>
  <si>
    <t>3. Reapreçamento exato da LF: a fórmula como escrita na spec, ((1+s_novo)/(1+s_velho))^(du/252) − 1, devolve +0,99% (ganho). O sinal correto para abertura de spread é ((1+s_velho)/(1+s_novo))^(du/252) − 1 = −0,9838%, que é o valor do critério de aceite. O arquivo usa a segunda forma.</t>
  </si>
  <si>
    <t>4. Custo all-in: com o default de FGC de 0,01% pedido na spec, o resultado é CDI + 1,2625%. A conta do slide 22 (CDI + 1,25) aparece na linha imediatamente abaixo, calculada com FGC e spread fiscal em zero.</t>
  </si>
  <si>
    <t>5. A diferença entre as duas leituras da conversão de indexador é de 0,0003 p.p. (0,03 bp), e não de 0,3 bp como diz a nota original — 1 bp equivale a 0,01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</si>
</sst>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00%"/>
    <numFmt numFmtId="165" formatCode="0.0000&quot;%&quot;"/>
    <numFmt numFmtId="167" formatCode="0.00%;[Red]\(0.00%\);&quot;-&quot;"/>
    <numFmt numFmtId="168" formatCode="#,##0;[Red]\(#,##0\);&quot;-&quot;"/>
    <numFmt numFmtId="169" formatCode="0.0000"/>
    <numFmt numFmtId="170" formatCode="0.0000%;[Red]\(0.0000%\);&quot;-&quot;"/>
    <numFmt numFmtId="171" formatCode="0.000000%"/>
    <numFmt numFmtId="172" formatCode="\+0.0;\-0.0"/>
    <numFmt numFmtId="173" formatCode="0.0%"/>
    <numFmt numFmtId="174" formatCode="0.00%&quot; do CDI&quot;"/>
    <numFmt numFmtId="175" formatCode="&quot;CDI + &quot;0.0000%"/>
    <numFmt numFmtId="176" formatCode="0.00&quot;%&quot;"/>
    <numFmt numFmtId="177" formatCode="#,#00%"/>
    <numFmt numFmtId="178" formatCode="#,##0.000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rial"/>
    </font>
    <font>
      <sz val="10"/>
      <color theme="1"/>
      <name val="Arial"/>
    </font>
    <font>
      <sz val="10"/>
      <color rgb="FF202427"/>
      <name val="Arial"/>
    </font>
    <font>
      <b/>
      <sz val="10"/>
      <color rgb="FF202427"/>
      <name val="Arial"/>
    </font>
    <font>
      <b/>
      <sz val="10"/>
      <color rgb="FF002C4D"/>
      <name val="Arial"/>
    </font>
    <font>
      <b/>
      <sz val="16"/>
      <color rgb="FF002C4D"/>
      <name val="Arial"/>
    </font>
    <font>
      <sz val="11"/>
      <color rgb="FF202427"/>
      <name val="Arial"/>
    </font>
    <font>
      <b/>
      <sz val="12"/>
      <color rgb="FF002C4D"/>
      <name val="Arial"/>
    </font>
    <font>
      <b/>
      <sz val="10"/>
      <color rgb="FF0C63AA"/>
      <name val="Arial"/>
    </font>
    <font>
      <b/>
      <sz val="12"/>
      <color rgb="FF0C63AA"/>
      <name val="Arial"/>
    </font>
    <font>
      <b/>
      <sz val="10"/>
      <color rgb="FFFFFFFF"/>
      <name val="Arial"/>
    </font>
    <font>
      <sz val="10"/>
      <color rgb="FF002C4D"/>
      <name val="Arial"/>
    </font>
    <font>
      <i/>
      <sz val="10"/>
      <color rgb="FF002C4D"/>
      <name val="Arial"/>
    </font>
    <font>
      <sz val="9"/>
      <color rgb="FF202427"/>
      <name val="Arial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theme="1"/>
      <name val="Arial"/>
    </font>
    <font>
      <sz val="10"/>
      <color rgb="FF0000FF"/>
      <name val="Arial"/>
    </font>
    <font>
      <b/>
      <sz val="10"/>
      <color theme="1"/>
      <name val="Arial"/>
    </font>
    <font>
      <sz val="10"/>
      <color rgb="FF0C63AA"/>
      <name val="Arial"/>
    </font>
    <font>
      <sz val="10"/>
      <color rgb="FF008000"/>
      <name val="Arial"/>
    </font>
    <font>
      <b/>
      <sz val="9"/>
      <color rgb="FF002C4D"/>
      <name val="Arial"/>
    </font>
    <font>
      <b/>
      <sz val="14"/>
      <color rgb="FF002C4D"/>
      <name val="Arial"/>
    </font>
    <font>
      <b/>
      <sz val="14"/>
      <color rgb="FF0C63AA"/>
      <name val="Arial"/>
    </font>
    <font>
      <sz val="9"/>
      <color rgb="FF002C4D"/>
      <name val="Arial"/>
    </font>
    <font>
      <sz val="10"/>
      <color rgb="FFC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2C4D"/>
        <bgColor indexed="64"/>
      </patternFill>
    </fill>
    <fill>
      <patternFill patternType="solid">
        <fgColor rgb="FFDCE9F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CE9F5"/>
      </bottom>
      <diagonal/>
    </border>
    <border>
      <left/>
      <right/>
      <top style="thin">
        <color rgb="FFDCE9F5"/>
      </top>
      <bottom style="thin">
        <color rgb="FFDCE9F5"/>
      </bottom>
      <diagonal/>
    </border>
    <border>
      <left/>
      <right/>
      <top style="thin">
        <color rgb="FFDCE9F5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3" fillId="0" borderId="0" xfId="0" applyFont="1" applyProtection="1"/>
    <xf numFmtId="0" fontId="1" fillId="0" borderId="0" xfId="0" applyFont="1" applyProtection="1"/>
    <xf numFmtId="0" fontId="0" fillId="0" borderId="0" xfId="0" applyProtection="1"/>
    <xf numFmtId="0" fontId="3" fillId="0" borderId="0" xfId="0" applyFont="1" applyProtection="1"/>
    <xf numFmtId="0" fontId="2" fillId="0" borderId="0" xfId="0" applyFont="1" applyProtection="1"/>
    <xf numFmtId="0" fontId="8" fillId="0" borderId="0" xfId="0" applyFont="1" applyProtection="1"/>
    <xf numFmtId="0" fontId="5" fillId="0" borderId="0" xfId="0" applyFont="1" applyProtection="1"/>
    <xf numFmtId="0" fontId="11" fillId="2" borderId="0" xfId="0" applyFont="1" applyFill="1" applyProtection="1"/>
    <xf numFmtId="177" fontId="2" fillId="0" borderId="0" xfId="0" applyNumberFormat="1" applyFont="1" applyProtection="1"/>
    <xf numFmtId="10" fontId="2" fillId="0" borderId="0" xfId="0" applyNumberFormat="1" applyFont="1" applyProtection="1"/>
    <xf numFmtId="164" fontId="2" fillId="0" borderId="0" xfId="0" applyNumberFormat="1" applyFont="1" applyProtection="1"/>
    <xf numFmtId="165" fontId="24" fillId="0" borderId="0" xfId="0" applyNumberFormat="1" applyFont="1" applyProtection="1"/>
    <xf numFmtId="167" fontId="24" fillId="0" borderId="0" xfId="0" applyNumberFormat="1" applyFont="1" applyProtection="1"/>
    <xf numFmtId="168" fontId="24" fillId="0" borderId="0" xfId="0" applyNumberFormat="1" applyFont="1" applyProtection="1"/>
    <xf numFmtId="0" fontId="24" fillId="0" borderId="0" xfId="0" applyFont="1" applyAlignment="1" applyProtection="1">
      <alignment horizontal="left"/>
    </xf>
    <xf numFmtId="0" fontId="11" fillId="2" borderId="0" xfId="0" applyFont="1" applyFill="1" applyAlignment="1" applyProtection="1">
      <alignment horizontal="right"/>
    </xf>
    <xf numFmtId="3" fontId="2" fillId="0" borderId="0" xfId="0" applyNumberFormat="1" applyFont="1" applyProtection="1"/>
    <xf numFmtId="165" fontId="2" fillId="0" borderId="0" xfId="0" applyNumberFormat="1" applyFont="1" applyProtection="1"/>
    <xf numFmtId="167" fontId="2" fillId="0" borderId="0" xfId="0" applyNumberFormat="1" applyFont="1" applyProtection="1"/>
    <xf numFmtId="168" fontId="2" fillId="0" borderId="0" xfId="0" applyNumberFormat="1" applyFont="1" applyProtection="1"/>
    <xf numFmtId="0" fontId="9" fillId="0" borderId="0" xfId="0" applyFont="1" applyProtection="1"/>
    <xf numFmtId="0" fontId="14" fillId="0" borderId="0" xfId="0" applyFont="1" applyProtection="1"/>
    <xf numFmtId="169" fontId="2" fillId="0" borderId="0" xfId="0" applyNumberFormat="1" applyFont="1" applyProtection="1"/>
    <xf numFmtId="170" fontId="24" fillId="0" borderId="0" xfId="0" applyNumberFormat="1" applyFont="1" applyProtection="1"/>
    <xf numFmtId="170" fontId="2" fillId="0" borderId="0" xfId="0" applyNumberFormat="1" applyFont="1" applyProtection="1"/>
    <xf numFmtId="171" fontId="2" fillId="0" borderId="0" xfId="0" applyNumberFormat="1" applyFont="1" applyProtection="1"/>
    <xf numFmtId="164" fontId="9" fillId="0" borderId="0" xfId="0" applyNumberFormat="1" applyFont="1" applyProtection="1"/>
    <xf numFmtId="164" fontId="24" fillId="0" borderId="0" xfId="0" applyNumberFormat="1" applyFont="1" applyProtection="1"/>
    <xf numFmtId="164" fontId="26" fillId="0" borderId="0" xfId="0" applyNumberFormat="1" applyFont="1" applyProtection="1"/>
    <xf numFmtId="0" fontId="25" fillId="3" borderId="0" xfId="0" applyFont="1" applyFill="1" applyProtection="1"/>
    <xf numFmtId="164" fontId="19" fillId="0" borderId="0" xfId="0" applyNumberFormat="1" applyFont="1" applyProtection="1"/>
    <xf numFmtId="172" fontId="2" fillId="0" borderId="0" xfId="0" applyNumberFormat="1" applyFont="1" applyProtection="1"/>
    <xf numFmtId="10" fontId="24" fillId="0" borderId="0" xfId="0" applyNumberFormat="1" applyFont="1" applyProtection="1"/>
    <xf numFmtId="174" fontId="2" fillId="0" borderId="0" xfId="0" applyNumberFormat="1" applyFont="1" applyProtection="1"/>
    <xf numFmtId="173" fontId="2" fillId="0" borderId="0" xfId="0" applyNumberFormat="1" applyFont="1" applyProtection="1"/>
    <xf numFmtId="10" fontId="19" fillId="0" borderId="0" xfId="0" applyNumberFormat="1" applyFont="1" applyProtection="1"/>
    <xf numFmtId="0" fontId="13" fillId="3" borderId="0" xfId="0" applyFont="1" applyFill="1" applyProtection="1"/>
    <xf numFmtId="175" fontId="24" fillId="0" borderId="0" xfId="0" applyNumberFormat="1" applyFont="1" applyProtection="1"/>
    <xf numFmtId="0" fontId="6" fillId="0" borderId="0" xfId="0" applyFont="1" applyProtection="1"/>
    <xf numFmtId="0" fontId="22" fillId="0" borderId="0" xfId="0" applyFont="1" applyProtection="1"/>
    <xf numFmtId="0" fontId="17" fillId="0" borderId="0" xfId="0" applyFont="1" applyProtection="1"/>
    <xf numFmtId="2" fontId="2" fillId="0" borderId="0" xfId="0" applyNumberFormat="1" applyFont="1" applyProtection="1"/>
    <xf numFmtId="0" fontId="19" fillId="0" borderId="0" xfId="0" applyFont="1" applyProtection="1"/>
    <xf numFmtId="176" fontId="2" fillId="0" borderId="0" xfId="0" applyNumberFormat="1" applyFont="1" applyProtection="1"/>
    <xf numFmtId="0" fontId="20" fillId="0" borderId="0" xfId="0" applyFont="1" applyProtection="1"/>
    <xf numFmtId="164" fontId="21" fillId="0" borderId="0" xfId="0" applyNumberFormat="1" applyFont="1" applyProtection="1"/>
    <xf numFmtId="173" fontId="21" fillId="0" borderId="0" xfId="0" applyNumberFormat="1" applyFont="1" applyProtection="1"/>
    <xf numFmtId="0" fontId="6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2" borderId="1" xfId="0" applyFont="1" applyFill="1" applyBorder="1" applyAlignment="1" applyProtection="1">
      <alignment horizontal="left" wrapText="1"/>
    </xf>
    <xf numFmtId="0" fontId="4" fillId="0" borderId="2" xfId="0" applyFont="1" applyBorder="1" applyAlignment="1" applyProtection="1">
      <alignment horizontal="left" wrapText="1"/>
    </xf>
    <xf numFmtId="0" fontId="3" fillId="0" borderId="2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left" wrapText="1"/>
    </xf>
    <xf numFmtId="0" fontId="3" fillId="0" borderId="3" xfId="0" applyFont="1" applyBorder="1" applyAlignment="1" applyProtection="1">
      <alignment horizontal="left" wrapText="1"/>
    </xf>
    <xf numFmtId="0" fontId="14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left"/>
    </xf>
    <xf numFmtId="0" fontId="12" fillId="3" borderId="0" xfId="0" applyFont="1" applyFill="1" applyAlignment="1" applyProtection="1">
      <alignment horizontal="left"/>
    </xf>
    <xf numFmtId="0" fontId="13" fillId="3" borderId="0" xfId="0" applyFont="1" applyFill="1" applyAlignment="1" applyProtection="1">
      <alignment horizontal="left"/>
    </xf>
    <xf numFmtId="4" fontId="18" fillId="3" borderId="0" xfId="0" applyNumberFormat="1" applyFont="1" applyFill="1" applyProtection="1">
      <protection locked="0"/>
    </xf>
    <xf numFmtId="164" fontId="18" fillId="3" borderId="0" xfId="0" applyNumberFormat="1" applyFont="1" applyFill="1" applyProtection="1">
      <protection locked="0"/>
    </xf>
    <xf numFmtId="3" fontId="18" fillId="3" borderId="0" xfId="0" applyNumberFormat="1" applyFont="1" applyFill="1" applyProtection="1">
      <protection locked="0"/>
    </xf>
    <xf numFmtId="169" fontId="18" fillId="3" borderId="0" xfId="0" applyNumberFormat="1" applyFont="1" applyFill="1" applyProtection="1">
      <protection locked="0"/>
    </xf>
    <xf numFmtId="10" fontId="18" fillId="3" borderId="0" xfId="0" applyNumberFormat="1" applyFont="1" applyFill="1" applyProtection="1">
      <protection locked="0"/>
    </xf>
    <xf numFmtId="173" fontId="18" fillId="3" borderId="0" xfId="0" applyNumberFormat="1" applyFont="1" applyFill="1" applyProtection="1">
      <protection locked="0"/>
    </xf>
    <xf numFmtId="0" fontId="18" fillId="3" borderId="0" xfId="0" applyFont="1" applyFill="1" applyAlignment="1" applyProtection="1">
      <alignment horizontal="left"/>
      <protection locked="0"/>
    </xf>
    <xf numFmtId="2" fontId="18" fillId="3" borderId="0" xfId="0" applyNumberFormat="1" applyFont="1" applyFill="1" applyProtection="1">
      <protection locked="0"/>
    </xf>
    <xf numFmtId="0" fontId="18" fillId="3" borderId="0" xfId="0" applyFont="1" applyFill="1" applyProtection="1">
      <protection locked="0"/>
    </xf>
    <xf numFmtId="174" fontId="18" fillId="3" borderId="0" xfId="0" applyNumberFormat="1" applyFont="1" applyFill="1" applyProtection="1">
      <protection locked="0"/>
    </xf>
    <xf numFmtId="175" fontId="18" fillId="3" borderId="0" xfId="0" applyNumberFormat="1" applyFont="1" applyFill="1" applyProtection="1">
      <protection locked="0"/>
    </xf>
    <xf numFmtId="178" fontId="24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C4D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 prêmio derrete junto com o CDI: quanto vale </a:t>
            </a:r>
            <a:r>
              <a:rPr lang="el-GR"/>
              <a:t>α% </a:t>
            </a:r>
            <a:r>
              <a:rPr lang="en-US"/>
              <a:t>do CDI em cada nível de juro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C4D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Simulador!$K$5</c:f>
              <c:strCache>
                <c:ptCount val="1"/>
                <c:pt idx="0">
                  <c:v>Spread equivalente</c:v>
                </c:pt>
              </c:strCache>
            </c:strRef>
          </c:tx>
          <c:spPr>
            <a:ln w="28575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Simulador!$J$6:$J$18</c:f>
              <c:numCache>
                <c:formatCode>0.00%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0.1</c:v>
                </c:pt>
                <c:pt idx="5">
                  <c:v>0.11</c:v>
                </c:pt>
                <c:pt idx="6">
                  <c:v>0.12</c:v>
                </c:pt>
                <c:pt idx="7">
                  <c:v>0.124</c:v>
                </c:pt>
                <c:pt idx="8">
                  <c:v>0.13</c:v>
                </c:pt>
                <c:pt idx="9">
                  <c:v>0.13600000000000001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0.16</c:v>
                </c:pt>
              </c:numCache>
            </c:numRef>
          </c:cat>
          <c:val>
            <c:numRef>
              <c:f>Simulador!$K$6:$K$18</c:f>
              <c:numCache>
                <c:formatCode>0.0000%</c:formatCode>
                <c:ptCount val="13"/>
                <c:pt idx="0">
                  <c:v>4.6723944019153585E-3</c:v>
                </c:pt>
                <c:pt idx="1">
                  <c:v>5.4273669598730034E-3</c:v>
                </c:pt>
                <c:pt idx="2">
                  <c:v>6.1758758551460069E-3</c:v>
                </c:pt>
                <c:pt idx="3">
                  <c:v>6.9180355125184612E-3</c:v>
                </c:pt>
                <c:pt idx="4">
                  <c:v>7.6539573042408993E-3</c:v>
                </c:pt>
                <c:pt idx="5">
                  <c:v>8.383749658362305E-3</c:v>
                </c:pt>
                <c:pt idx="6">
                  <c:v>9.1075181622801704E-3</c:v>
                </c:pt>
                <c:pt idx="7">
                  <c:v>9.395362013171038E-3</c:v>
                </c:pt>
                <c:pt idx="8">
                  <c:v>9.825365661760177E-3</c:v>
                </c:pt>
                <c:pt idx="9">
                  <c:v>1.0253273869412105E-2</c:v>
                </c:pt>
                <c:pt idx="10">
                  <c:v>1.0537392355661757E-2</c:v>
                </c:pt>
                <c:pt idx="11">
                  <c:v>1.124369588659202E-2</c:v>
                </c:pt>
                <c:pt idx="12">
                  <c:v>1.1944371427696332E-2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51-44FD-B27F-9C7CB7754D1A}"/>
            </c:ext>
          </c:extLst>
        </c:ser>
        <c:ser>
          <c:idx val="1"/>
          <c:order val="1"/>
          <c:tx>
            <c:strRef>
              <c:f>Simulador!$L$5</c:f>
              <c:strCache>
                <c:ptCount val="1"/>
                <c:pt idx="0">
                  <c:v>Marcadores (6,00% · 12,40% · 13,60%)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002C4D"/>
              </a:solidFill>
              <a:ln w="9525">
                <a:solidFill>
                  <a:srgbClr val="002C4D"/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Simulador!$J$6:$J$18</c:f>
              <c:numCache>
                <c:formatCode>0.00%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0.1</c:v>
                </c:pt>
                <c:pt idx="5">
                  <c:v>0.11</c:v>
                </c:pt>
                <c:pt idx="6">
                  <c:v>0.12</c:v>
                </c:pt>
                <c:pt idx="7">
                  <c:v>0.124</c:v>
                </c:pt>
                <c:pt idx="8">
                  <c:v>0.13</c:v>
                </c:pt>
                <c:pt idx="9">
                  <c:v>0.13600000000000001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0.16</c:v>
                </c:pt>
              </c:numCache>
            </c:numRef>
          </c:cat>
          <c:val>
            <c:numRef>
              <c:f>Simulador!$L$6:$L$18</c:f>
              <c:numCache>
                <c:formatCode>0.0000%</c:formatCode>
                <c:ptCount val="13"/>
                <c:pt idx="0">
                  <c:v>4.6723944019153585E-3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9.395362013171038E-3</c:v>
                </c:pt>
                <c:pt idx="8">
                  <c:v>#N/A</c:v>
                </c:pt>
                <c:pt idx="9">
                  <c:v>1.0253273869412105E-2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51-44FD-B27F-9C7CB7754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2459904"/>
        <c:axId val="879769423"/>
      </c:lineChart>
      <c:catAx>
        <c:axId val="972459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Nível do CDI (a.a.)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79769423"/>
        <c:crosses val="autoZero"/>
        <c:auto val="1"/>
        <c:lblAlgn val="ctr"/>
        <c:lblOffset val="100"/>
        <c:noMultiLvlLbl val="0"/>
      </c:catAx>
      <c:valAx>
        <c:axId val="879769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Spread equivalente (a.a.)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7245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99</xdr:row>
      <xdr:rowOff>0</xdr:rowOff>
    </xdr:from>
    <xdr:to>
      <xdr:col>8</xdr:col>
      <xdr:colOff>0</xdr:colOff>
      <xdr:row>121</xdr:row>
      <xdr:rowOff>0</xdr:rowOff>
    </xdr:to>
    <xdr:graphicFrame macro="">
      <xdr:nvGraphicFramePr>
        <xdr:cNvPr id="3" name="GraficoSpreadCDI">
          <a:extLst>
            <a:ext uri="{FF2B5EF4-FFF2-40B4-BE49-F238E27FC236}">
              <a16:creationId xmlns:a16="http://schemas.microsoft.com/office/drawing/2014/main" id="{552B011D-577C-6186-B36E-7556C7F39D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8BE44AB-27CF-4BC2-B33B-0C7022C239B5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c5cdd8eb-2c8c-4404-80af-3768efb5631b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E43E-F27D-4FC9-B0FF-24295CA2171E}">
  <dimension ref="A1:Z50"/>
  <sheetViews>
    <sheetView showGridLines="0" tabSelected="1" workbookViewId="0">
      <selection activeCell="A8" sqref="A8"/>
    </sheetView>
  </sheetViews>
  <sheetFormatPr defaultColWidth="9.77734375" defaultRowHeight="14.4" x14ac:dyDescent="0.3"/>
  <cols>
    <col min="1" max="1" width="144.44140625" customWidth="1"/>
    <col min="2" max="3" width="42.5546875" customWidth="1"/>
  </cols>
  <sheetData>
    <row r="1" spans="1:26" ht="21" x14ac:dyDescent="0.4">
      <c r="A1" s="48" t="s">
        <v>0</v>
      </c>
      <c r="B1" s="49"/>
      <c r="C1" s="4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50" t="s">
        <v>1</v>
      </c>
      <c r="B2" s="49"/>
      <c r="C2" s="4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49"/>
      <c r="B3" s="49"/>
      <c r="C3" s="49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51" t="s">
        <v>2</v>
      </c>
      <c r="B4" s="49"/>
      <c r="C4" s="4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">
      <c r="A5" s="49" t="s">
        <v>3</v>
      </c>
      <c r="B5" s="49"/>
      <c r="C5" s="49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">
      <c r="A6" s="49"/>
      <c r="B6" s="49"/>
      <c r="C6" s="49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6" x14ac:dyDescent="0.3">
      <c r="A7" s="52" t="s">
        <v>4</v>
      </c>
      <c r="B7" s="49"/>
      <c r="C7" s="49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49"/>
      <c r="B8" s="49"/>
      <c r="C8" s="49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6" x14ac:dyDescent="0.3">
      <c r="A9" s="51" t="s">
        <v>5</v>
      </c>
      <c r="B9" s="49"/>
      <c r="C9" s="4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49" t="s">
        <v>6</v>
      </c>
      <c r="B10" s="49"/>
      <c r="C10" s="4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">
      <c r="A11" s="49"/>
      <c r="B11" s="49"/>
      <c r="C11" s="49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3">
      <c r="A12" s="51" t="s">
        <v>7</v>
      </c>
      <c r="B12" s="49"/>
      <c r="C12" s="49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">
      <c r="A13" s="53"/>
      <c r="B13" s="53" t="s">
        <v>25</v>
      </c>
      <c r="C13" s="53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54" t="s">
        <v>27</v>
      </c>
      <c r="B14" s="55" t="s">
        <v>28</v>
      </c>
      <c r="C14" s="55" t="s">
        <v>29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">
      <c r="A15" s="54" t="s">
        <v>30</v>
      </c>
      <c r="B15" s="55" t="s">
        <v>31</v>
      </c>
      <c r="C15" s="55" t="s">
        <v>32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54" t="s">
        <v>33</v>
      </c>
      <c r="B16" s="55" t="s">
        <v>34</v>
      </c>
      <c r="C16" s="55" t="s">
        <v>35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">
      <c r="A17" s="56" t="s">
        <v>36</v>
      </c>
      <c r="B17" s="57" t="s">
        <v>37</v>
      </c>
      <c r="C17" s="56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">
      <c r="A18" s="58"/>
      <c r="B18" s="49" t="s">
        <v>39</v>
      </c>
      <c r="C18" s="49" t="s">
        <v>39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59"/>
      <c r="B19" s="59"/>
      <c r="C19" s="5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6" x14ac:dyDescent="0.3">
      <c r="A20" s="60" t="s">
        <v>8</v>
      </c>
      <c r="B20" s="59"/>
      <c r="C20" s="5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59" t="s">
        <v>9</v>
      </c>
      <c r="B21" s="59"/>
      <c r="C21" s="59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59" t="s">
        <v>10</v>
      </c>
      <c r="B22" s="59"/>
      <c r="C22" s="5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61" t="s">
        <v>11</v>
      </c>
      <c r="B23" s="59"/>
      <c r="C23" s="5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59"/>
      <c r="B24" s="59"/>
      <c r="C24" s="59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62" t="s">
        <v>12</v>
      </c>
      <c r="B25" s="63"/>
      <c r="C25" s="6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64" t="s">
        <v>13</v>
      </c>
      <c r="B26" s="63"/>
      <c r="C26" s="6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59"/>
      <c r="B27" s="59"/>
      <c r="C27" s="59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62" t="s">
        <v>14</v>
      </c>
      <c r="B28" s="63"/>
      <c r="C28" s="6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64" t="s">
        <v>15</v>
      </c>
      <c r="B29" s="63"/>
      <c r="C29" s="6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59"/>
      <c r="B30" s="59"/>
      <c r="C30" s="5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62" t="s">
        <v>16</v>
      </c>
      <c r="B31" s="63"/>
      <c r="C31" s="6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64" t="s">
        <v>17</v>
      </c>
      <c r="B32" s="63"/>
      <c r="C32" s="6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59"/>
      <c r="B33" s="59"/>
      <c r="C33" s="5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60" t="s">
        <v>18</v>
      </c>
      <c r="B34" s="59"/>
      <c r="C34" s="59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59" t="s">
        <v>19</v>
      </c>
      <c r="B35" s="59"/>
      <c r="C35" s="5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59"/>
      <c r="B36" s="59"/>
      <c r="C36" s="5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60" t="s">
        <v>20</v>
      </c>
      <c r="B37" s="59"/>
      <c r="C37" s="5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59" t="s">
        <v>21</v>
      </c>
      <c r="B38" s="59"/>
      <c r="C38" s="5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59" t="s">
        <v>22</v>
      </c>
      <c r="B39" s="59"/>
      <c r="C39" s="5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59" t="s">
        <v>23</v>
      </c>
      <c r="B40" s="59"/>
      <c r="C40" s="59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59"/>
      <c r="B41" s="59"/>
      <c r="C41" s="59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61" t="s">
        <v>24</v>
      </c>
      <c r="B42" s="59"/>
      <c r="C42" s="59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</sheetData>
  <sheetProtection sheet="1" objects="1" scenarios="1" sort="0" autoFilter="0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D2BA-F0C3-487B-A45B-42042CF00D13}">
  <dimension ref="A1:Z130"/>
  <sheetViews>
    <sheetView showGridLines="0" workbookViewId="0"/>
  </sheetViews>
  <sheetFormatPr defaultColWidth="9.77734375" defaultRowHeight="14.4" x14ac:dyDescent="0.3"/>
  <cols>
    <col min="1" max="1" width="74.109375" customWidth="1"/>
    <col min="2" max="7" width="21.33203125" customWidth="1"/>
    <col min="9" max="9" width="3.6640625" customWidth="1"/>
    <col min="10" max="12" width="27.77734375" customWidth="1"/>
    <col min="14" max="14" width="16.6640625" customWidth="1"/>
  </cols>
  <sheetData>
    <row r="1" spans="1:26" ht="17.399999999999999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4" t="s">
        <v>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6" t="s">
        <v>41</v>
      </c>
      <c r="B4" s="5"/>
      <c r="C4" s="5"/>
      <c r="D4" s="5"/>
      <c r="E4" s="5"/>
      <c r="F4" s="5"/>
      <c r="G4" s="5"/>
      <c r="H4" s="5"/>
      <c r="I4" s="5"/>
      <c r="J4" s="7" t="s">
        <v>142</v>
      </c>
      <c r="K4" s="5"/>
      <c r="L4" s="5"/>
      <c r="M4" s="5"/>
      <c r="N4" s="7" t="s">
        <v>202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">
      <c r="A5" s="5" t="s">
        <v>42</v>
      </c>
      <c r="B5" s="65">
        <v>100</v>
      </c>
      <c r="C5" s="5"/>
      <c r="D5" s="5"/>
      <c r="E5" s="5"/>
      <c r="F5" s="5"/>
      <c r="G5" s="5"/>
      <c r="H5" s="5"/>
      <c r="I5" s="5"/>
      <c r="J5" s="8" t="s">
        <v>103</v>
      </c>
      <c r="K5" s="8" t="s">
        <v>143</v>
      </c>
      <c r="L5" s="8" t="s">
        <v>144</v>
      </c>
      <c r="M5" s="5"/>
      <c r="N5" s="9">
        <v>0.22500000000000001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">
      <c r="A6" s="5" t="s">
        <v>43</v>
      </c>
      <c r="B6" s="66">
        <v>5.0000000000000001E-3</v>
      </c>
      <c r="C6" s="5"/>
      <c r="D6" s="5"/>
      <c r="E6" s="5"/>
      <c r="F6" s="5"/>
      <c r="G6" s="5"/>
      <c r="H6" s="5"/>
      <c r="I6" s="5"/>
      <c r="J6" s="10">
        <v>0.06</v>
      </c>
      <c r="K6" s="11">
        <f>(1+J6)^($B$47-1)-1</f>
        <v>4.6723944019153585E-3</v>
      </c>
      <c r="L6" s="11">
        <f>IF(OR(ROUND(J6,4)=0.06,ROUND(J6,4)=0.124,ROUND(J6,4)=0.136),K6,NA())</f>
        <v>4.6723944019153585E-3</v>
      </c>
      <c r="M6" s="5"/>
      <c r="N6" s="9">
        <v>0.2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">
      <c r="A7" s="5" t="s">
        <v>44</v>
      </c>
      <c r="B7" s="67">
        <v>1260</v>
      </c>
      <c r="C7" s="5"/>
      <c r="D7" s="5"/>
      <c r="E7" s="5"/>
      <c r="F7" s="5"/>
      <c r="G7" s="5"/>
      <c r="H7" s="5"/>
      <c r="I7" s="5"/>
      <c r="J7" s="10">
        <v>7.0000000000000007E-2</v>
      </c>
      <c r="K7" s="11">
        <f>(1+J7)^($B$47-1)-1</f>
        <v>5.4273669598730034E-3</v>
      </c>
      <c r="L7" s="11" t="e">
        <f>IF(OR(ROUND(J7,4)=0.06,ROUND(J7,4)=0.124,ROUND(J7,4)=0.136),K7,NA())</f>
        <v>#N/A</v>
      </c>
      <c r="M7" s="5"/>
      <c r="N7" s="9">
        <v>0.17499999999999999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5" t="s">
        <v>45</v>
      </c>
      <c r="B8" s="67">
        <v>100000000</v>
      </c>
      <c r="C8" s="5"/>
      <c r="D8" s="5"/>
      <c r="E8" s="5"/>
      <c r="F8" s="5"/>
      <c r="G8" s="5"/>
      <c r="H8" s="5"/>
      <c r="I8" s="5"/>
      <c r="J8" s="10">
        <v>0.08</v>
      </c>
      <c r="K8" s="11">
        <f>(1+J8)^($B$47-1)-1</f>
        <v>6.1758758551460069E-3</v>
      </c>
      <c r="L8" s="11" t="e">
        <f>IF(OR(ROUND(J8,4)=0.06,ROUND(J8,4)=0.124,ROUND(J8,4)=0.136),K8,NA())</f>
        <v>#N/A</v>
      </c>
      <c r="M8" s="5"/>
      <c r="N8" s="9">
        <v>0.15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399999999999999" x14ac:dyDescent="0.3">
      <c r="A9" s="5" t="s">
        <v>46</v>
      </c>
      <c r="B9" s="12">
        <f>ROUND(100/(1+B6)^(B7/252),4)</f>
        <v>97.537099999999995</v>
      </c>
      <c r="C9" s="5"/>
      <c r="D9" s="5"/>
      <c r="E9" s="5"/>
      <c r="F9" s="5"/>
      <c r="G9" s="5"/>
      <c r="H9" s="5"/>
      <c r="I9" s="5"/>
      <c r="J9" s="10">
        <v>0.09</v>
      </c>
      <c r="K9" s="11">
        <f>(1+J9)^($B$47-1)-1</f>
        <v>6.9180355125184612E-3</v>
      </c>
      <c r="L9" s="11" t="e">
        <f>IF(OR(ROUND(J9,4)=0.06,ROUND(J9,4)=0.124,ROUND(J9,4)=0.136),K9,NA())</f>
        <v>#N/A</v>
      </c>
      <c r="M9" s="5"/>
      <c r="N9" s="5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399999999999999" x14ac:dyDescent="0.3">
      <c r="A10" s="5" t="s">
        <v>47</v>
      </c>
      <c r="B10" s="76">
        <f>B5*B9/100</f>
        <v>97.537099999999995</v>
      </c>
      <c r="C10" s="5"/>
      <c r="D10" s="5"/>
      <c r="E10" s="5"/>
      <c r="F10" s="5"/>
      <c r="G10" s="5"/>
      <c r="H10" s="5"/>
      <c r="I10" s="5"/>
      <c r="J10" s="10">
        <v>0.1</v>
      </c>
      <c r="K10" s="11">
        <f>(1+J10)^($B$47-1)-1</f>
        <v>7.6539573042408993E-3</v>
      </c>
      <c r="L10" s="11" t="e">
        <f>IF(OR(ROUND(J10,4)=0.06,ROUND(J10,4)=0.124,ROUND(J10,4)=0.136),K10,NA())</f>
        <v>#N/A</v>
      </c>
      <c r="M10" s="5"/>
      <c r="N10" s="5" t="s">
        <v>120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399999999999999" x14ac:dyDescent="0.3">
      <c r="A11" s="5" t="s">
        <v>48</v>
      </c>
      <c r="B11" s="13">
        <f>B9/100-1</f>
        <v>-2.4629000000000012E-2</v>
      </c>
      <c r="C11" s="5"/>
      <c r="D11" s="5"/>
      <c r="E11" s="5"/>
      <c r="F11" s="5"/>
      <c r="G11" s="5"/>
      <c r="H11" s="5"/>
      <c r="I11" s="5"/>
      <c r="J11" s="10">
        <v>0.11</v>
      </c>
      <c r="K11" s="11">
        <f>(1+J11)^($B$47-1)-1</f>
        <v>8.383749658362305E-3</v>
      </c>
      <c r="L11" s="11" t="e">
        <f>IF(OR(ROUND(J11,4)=0.06,ROUND(J11,4)=0.124,ROUND(J11,4)=0.136),K11,NA())</f>
        <v>#N/A</v>
      </c>
      <c r="M11" s="5"/>
      <c r="N11" s="5" t="s">
        <v>209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399999999999999" x14ac:dyDescent="0.3">
      <c r="A12" s="5" t="s">
        <v>49</v>
      </c>
      <c r="B12" s="14">
        <f>B11*B8</f>
        <v>-2462900.0000000014</v>
      </c>
      <c r="C12" s="5"/>
      <c r="D12" s="5"/>
      <c r="E12" s="5"/>
      <c r="F12" s="5"/>
      <c r="G12" s="5"/>
      <c r="H12" s="5"/>
      <c r="I12" s="5"/>
      <c r="J12" s="10">
        <v>0.12</v>
      </c>
      <c r="K12" s="11">
        <f>(1+J12)^($B$47-1)-1</f>
        <v>9.1075181622801704E-3</v>
      </c>
      <c r="L12" s="11" t="e">
        <f>IF(OR(ROUND(J12,4)=0.06,ROUND(J12,4)=0.124,ROUND(J12,4)=0.136),K12,NA())</f>
        <v>#N/A</v>
      </c>
      <c r="M12" s="5"/>
      <c r="N12" s="5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399999999999999" x14ac:dyDescent="0.3">
      <c r="A13" s="5" t="s">
        <v>50</v>
      </c>
      <c r="B13" s="15" t="str">
        <f>IF(B9&gt;100,"ÁGIO",IF(B9=100,"PAR","DESÁGIO"))</f>
        <v>DESÁGIO</v>
      </c>
      <c r="C13" s="5"/>
      <c r="D13" s="5"/>
      <c r="E13" s="5"/>
      <c r="F13" s="5"/>
      <c r="G13" s="5"/>
      <c r="H13" s="5"/>
      <c r="I13" s="5"/>
      <c r="J13" s="10">
        <v>0.124</v>
      </c>
      <c r="K13" s="11">
        <f>(1+J13)^($B$47-1)-1</f>
        <v>9.395362013171038E-3</v>
      </c>
      <c r="L13" s="11">
        <f>IF(OR(ROUND(J13,4)=0.06,ROUND(J13,4)=0.124,ROUND(J13,4)=0.136),K13,NA())</f>
        <v>9.395362013171038E-3</v>
      </c>
      <c r="M13" s="5"/>
      <c r="N13" s="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5"/>
      <c r="B14" s="5"/>
      <c r="C14" s="5"/>
      <c r="D14" s="5"/>
      <c r="E14" s="5"/>
      <c r="F14" s="5"/>
      <c r="G14" s="5"/>
      <c r="H14" s="5"/>
      <c r="I14" s="5"/>
      <c r="J14" s="10">
        <v>0.13</v>
      </c>
      <c r="K14" s="11">
        <f>(1+J14)^($B$47-1)-1</f>
        <v>9.825365661760177E-3</v>
      </c>
      <c r="L14" s="11" t="e">
        <f>IF(OR(ROUND(J14,4)=0.06,ROUND(J14,4)=0.124,ROUND(J14,4)=0.136),K14,NA())</f>
        <v>#N/A</v>
      </c>
      <c r="M14" s="5"/>
      <c r="N14" s="5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">
      <c r="A15" s="7" t="s">
        <v>51</v>
      </c>
      <c r="B15" s="5"/>
      <c r="C15" s="5"/>
      <c r="D15" s="5"/>
      <c r="E15" s="5"/>
      <c r="F15" s="5"/>
      <c r="G15" s="5"/>
      <c r="H15" s="5"/>
      <c r="I15" s="5"/>
      <c r="J15" s="10">
        <v>0.13600000000000001</v>
      </c>
      <c r="K15" s="11">
        <f>(1+J15)^($B$47-1)-1</f>
        <v>1.0253273869412105E-2</v>
      </c>
      <c r="L15" s="11">
        <f>IF(OR(ROUND(J15,4)=0.06,ROUND(J15,4)=0.124,ROUND(J15,4)=0.136),K15,NA())</f>
        <v>1.0253273869412105E-2</v>
      </c>
      <c r="M15" s="5"/>
      <c r="N15" s="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8" t="s">
        <v>52</v>
      </c>
      <c r="B16" s="16" t="s">
        <v>53</v>
      </c>
      <c r="C16" s="16" t="s">
        <v>54</v>
      </c>
      <c r="D16" s="16" t="s">
        <v>55</v>
      </c>
      <c r="E16" s="16" t="s">
        <v>56</v>
      </c>
      <c r="F16" s="16" t="s">
        <v>57</v>
      </c>
      <c r="G16" s="5"/>
      <c r="H16" s="5"/>
      <c r="I16" s="5"/>
      <c r="J16" s="10">
        <v>0.14000000000000001</v>
      </c>
      <c r="K16" s="11">
        <f>(1+J16)^($B$47-1)-1</f>
        <v>1.0537392355661757E-2</v>
      </c>
      <c r="L16" s="11" t="e">
        <f>IF(OR(ROUND(J16,4)=0.06,ROUND(J16,4)=0.124,ROUND(J16,4)=0.136),K16,NA())</f>
        <v>#N/A</v>
      </c>
      <c r="M16" s="5"/>
      <c r="N16" s="5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">
      <c r="A17" s="5" t="s">
        <v>58</v>
      </c>
      <c r="B17" s="17">
        <v>1260</v>
      </c>
      <c r="C17" s="11">
        <v>3.0000000000000001E-3</v>
      </c>
      <c r="D17" s="18">
        <f>ROUND(100/(1+C17)^(B17/252),4)</f>
        <v>98.513400000000004</v>
      </c>
      <c r="E17" s="19">
        <f>D17/100-1</f>
        <v>-1.4865999999999935E-2</v>
      </c>
      <c r="F17" s="20">
        <f>E17*$B$8</f>
        <v>-1486599.9999999935</v>
      </c>
      <c r="G17" s="5"/>
      <c r="H17" s="5"/>
      <c r="I17" s="5"/>
      <c r="J17" s="10">
        <v>0.15</v>
      </c>
      <c r="K17" s="11">
        <f>(1+J17)^($B$47-1)-1</f>
        <v>1.124369588659202E-2</v>
      </c>
      <c r="L17" s="11" t="e">
        <f>IF(OR(ROUND(J17,4)=0.06,ROUND(J17,4)=0.124,ROUND(J17,4)=0.136),K17,NA())</f>
        <v>#N/A</v>
      </c>
      <c r="M17" s="5"/>
      <c r="N17" s="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">
      <c r="A18" s="5" t="s">
        <v>58</v>
      </c>
      <c r="B18" s="17">
        <v>1260</v>
      </c>
      <c r="C18" s="11">
        <v>5.0000000000000001E-3</v>
      </c>
      <c r="D18" s="18">
        <f>ROUND(100/(1+C18)^(B18/252),4)</f>
        <v>97.537099999999995</v>
      </c>
      <c r="E18" s="19">
        <f>D18/100-1</f>
        <v>-2.4629000000000012E-2</v>
      </c>
      <c r="F18" s="20">
        <f>E18*$B$8</f>
        <v>-2462900.0000000014</v>
      </c>
      <c r="G18" s="5"/>
      <c r="H18" s="5"/>
      <c r="I18" s="5"/>
      <c r="J18" s="10">
        <v>0.16</v>
      </c>
      <c r="K18" s="11">
        <f>(1+J18)^($B$47-1)-1</f>
        <v>1.1944371427696332E-2</v>
      </c>
      <c r="L18" s="11" t="e">
        <f>IF(OR(ROUND(J18,4)=0.06,ROUND(J18,4)=0.124,ROUND(J18,4)=0.136),K18,NA())</f>
        <v>#N/A</v>
      </c>
      <c r="M18" s="5"/>
      <c r="N18" s="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5" t="s">
        <v>58</v>
      </c>
      <c r="B19" s="17">
        <v>1260</v>
      </c>
      <c r="C19" s="11">
        <v>0.01</v>
      </c>
      <c r="D19" s="18">
        <f>ROUND(100/(1+C19)^(B19/252),4)</f>
        <v>95.146600000000007</v>
      </c>
      <c r="E19" s="19">
        <f>D19/100-1</f>
        <v>-4.8533999999999966E-2</v>
      </c>
      <c r="F19" s="20">
        <f>E19*$B$8</f>
        <v>-4853399.9999999963</v>
      </c>
      <c r="G19" s="5"/>
      <c r="H19" s="5"/>
      <c r="I19" s="5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5" t="s">
        <v>59</v>
      </c>
      <c r="B20" s="17">
        <v>504</v>
      </c>
      <c r="C20" s="11">
        <v>5.0000000000000001E-3</v>
      </c>
      <c r="D20" s="18">
        <f>ROUND(100/(1+C20)^(B20/252),4)</f>
        <v>99.007499999999993</v>
      </c>
      <c r="E20" s="19">
        <f>D20/100-1</f>
        <v>-9.9250000000000727E-3</v>
      </c>
      <c r="F20" s="20">
        <f>E20*$B$8</f>
        <v>-992500.00000000722</v>
      </c>
      <c r="G20" s="5"/>
      <c r="H20" s="5"/>
      <c r="I20" s="5"/>
      <c r="J20" s="5"/>
      <c r="K20" s="5"/>
      <c r="L20" s="5"/>
      <c r="M20" s="5"/>
      <c r="N20" s="5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21" t="str">
        <f>"Leitura: o mesmo deságio de "&amp;TEXT(C20,"0,00%")&amp;" custa "&amp;TEXT(-E18,"0,00%")&amp;" no papel de 5 anos e "&amp;TEXT(-E20,"0,00%")&amp;" no de 2 anos — dói cerca de "&amp;TEXT(E18/E20,"0,0")&amp;"× mais. A sensibilidade ao spread cresce com o prazo, exatamente como num prefixado."</f>
        <v>Leitura: o mesmo deságio de 0,50% custa 2,46% no papel de 5 anos e 0,99% no de 2 anos — dói cerca de 2,5× mais. A sensibilidade ao spread cresce com o prazo, exatamente como num prefixado.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22" t="s">
        <v>60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22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6" t="s">
        <v>62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5" t="s">
        <v>63</v>
      </c>
      <c r="B26" s="67">
        <v>50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5" t="s">
        <v>64</v>
      </c>
      <c r="B27" s="67">
        <v>100000000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8" t="s">
        <v>52</v>
      </c>
      <c r="B29" s="16" t="s">
        <v>53</v>
      </c>
      <c r="C29" s="16" t="s">
        <v>65</v>
      </c>
      <c r="D29" s="16" t="s">
        <v>66</v>
      </c>
      <c r="E29" s="16" t="s">
        <v>67</v>
      </c>
      <c r="F29" s="16" t="s">
        <v>68</v>
      </c>
      <c r="G29" s="16" t="s">
        <v>69</v>
      </c>
      <c r="H29" s="5"/>
      <c r="I29" s="5"/>
      <c r="J29" s="5"/>
      <c r="K29" s="5"/>
      <c r="L29" s="5"/>
      <c r="M29" s="5"/>
      <c r="N29" s="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5" t="s">
        <v>70</v>
      </c>
      <c r="B30" s="17">
        <v>504</v>
      </c>
      <c r="C30" s="68">
        <v>1.6464000000000001</v>
      </c>
      <c r="D30" s="17">
        <f>C30*$B$27*0.0001</f>
        <v>16464</v>
      </c>
      <c r="E30" s="68">
        <v>0</v>
      </c>
      <c r="F30" s="20">
        <f>E30*$B$27*0.0001</f>
        <v>0</v>
      </c>
      <c r="G30" s="20">
        <f>-F30*$B$26</f>
        <v>0</v>
      </c>
      <c r="H30" s="5"/>
      <c r="I30" s="5"/>
      <c r="J30" s="5"/>
      <c r="K30" s="5"/>
      <c r="L30" s="5"/>
      <c r="M30" s="5"/>
      <c r="N30" s="5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5" t="s">
        <v>71</v>
      </c>
      <c r="B31" s="17">
        <v>1260</v>
      </c>
      <c r="C31" s="23">
        <f>1/252</f>
        <v>3.968253968253968E-3</v>
      </c>
      <c r="D31" s="17">
        <f>C31*$B$27*0.0001</f>
        <v>39.682539682539684</v>
      </c>
      <c r="E31" s="23">
        <f>B31/252</f>
        <v>5</v>
      </c>
      <c r="F31" s="20">
        <f>E31*$B$27*0.0001</f>
        <v>50000</v>
      </c>
      <c r="G31" s="20">
        <f>-F31*$B$26</f>
        <v>-2500000</v>
      </c>
      <c r="H31" s="5"/>
      <c r="I31" s="5"/>
      <c r="J31" s="5"/>
      <c r="K31" s="5"/>
      <c r="L31" s="5"/>
      <c r="M31" s="5"/>
      <c r="N31" s="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5" t="s">
        <v>72</v>
      </c>
      <c r="B32" s="17">
        <v>504</v>
      </c>
      <c r="C32" s="23">
        <f>1/252</f>
        <v>3.968253968253968E-3</v>
      </c>
      <c r="D32" s="17">
        <f>C32*$B$27*0.0001</f>
        <v>39.682539682539684</v>
      </c>
      <c r="E32" s="23">
        <f>B32/252</f>
        <v>2</v>
      </c>
      <c r="F32" s="20">
        <f>E32*$B$27*0.0001</f>
        <v>20000</v>
      </c>
      <c r="G32" s="20">
        <f>-F32*$B$26</f>
        <v>-1000000</v>
      </c>
      <c r="H32" s="5"/>
      <c r="I32" s="5"/>
      <c r="J32" s="5"/>
      <c r="K32" s="5"/>
      <c r="L32" s="5"/>
      <c r="M32" s="5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5" t="s">
        <v>73</v>
      </c>
      <c r="B33" s="17">
        <v>1</v>
      </c>
      <c r="C33" s="23">
        <f>1/252</f>
        <v>3.968253968253968E-3</v>
      </c>
      <c r="D33" s="17">
        <f>C33*$B$27*0.0001</f>
        <v>39.682539682539684</v>
      </c>
      <c r="E33" s="23">
        <f>B33/252</f>
        <v>3.968253968253968E-3</v>
      </c>
      <c r="F33" s="20">
        <f>E33*$B$27*0.0001</f>
        <v>39.682539682539684</v>
      </c>
      <c r="G33" s="20">
        <f>-F33*$B$26</f>
        <v>-1984.1269841269841</v>
      </c>
      <c r="H33" s="5"/>
      <c r="I33" s="5"/>
      <c r="J33" s="5"/>
      <c r="K33" s="5"/>
      <c r="L33" s="5"/>
      <c r="M33" s="5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7" t="s">
        <v>74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5" t="s">
        <v>75</v>
      </c>
      <c r="B36" s="66">
        <v>8.9999999999999993E-3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5" t="s">
        <v>76</v>
      </c>
      <c r="B37" s="11">
        <f>B36+B26/10000</f>
        <v>1.3999999999999999E-2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7.399999999999999" x14ac:dyDescent="0.3">
      <c r="A38" s="5" t="s">
        <v>77</v>
      </c>
      <c r="B38" s="24">
        <f>((1+B36)/(1+B37))^(B32/252)-1</f>
        <v>-9.8376185085337076E-3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7.399999999999999" x14ac:dyDescent="0.3">
      <c r="A39" s="5" t="s">
        <v>78</v>
      </c>
      <c r="B39" s="14">
        <f>B38*B27</f>
        <v>-983761.85085337074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5" t="s">
        <v>79</v>
      </c>
      <c r="B40" s="20">
        <f>G32</f>
        <v>-1000000</v>
      </c>
      <c r="C40" s="25">
        <f>B40/B27</f>
        <v>-0.01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5" t="s">
        <v>80</v>
      </c>
      <c r="B41" s="20">
        <f>B39-B40</f>
        <v>16238.149146629265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21" t="str">
        <f>"Leitura: migrar a NTN-F para a LF troca "&amp;TEXT(D30,"R$ #.##0")&amp;"/bp de DV01 de juros por "&amp;TEXT(F32,"R$ #.##0")&amp;"/bp de DV01 de spread. O risco não sumiu: mudou de coluna — e ficou maior. É a resposta (iii) do comitê. Com o choque de "&amp;TEXT(B26,"0")&amp;" bps, a reta estima "&amp;TEXT(B40,"R$ #.##0")&amp;" e o reapreçamento exato dá "&amp;TEXT(B39,"R$ #.##0")&amp;" ("&amp;TEXT(B38,"0,0000%")&amp;"), com o CDI parado."</f>
        <v>Leitura: migrar a NTN-F para a LF troca R$ 16.464/bp de DV01 de juros por R$ 20.000/bp de DV01 de spread. O risco não sumiu: mudou de coluna — e ficou maior. É a resposta (iii) do comitê. Com o choque de 50 bps, a reta estima -R$ 1.000.000 e o reapreçamento exato dá -R$ 983.762 (-0,9838%), com o CDI parado.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22" t="s">
        <v>81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6" t="s">
        <v>82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5" t="s">
        <v>83</v>
      </c>
      <c r="B46" s="66">
        <v>0.13600000000000001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5" t="s">
        <v>84</v>
      </c>
      <c r="B47" s="69">
        <v>1.08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8" t="s">
        <v>85</v>
      </c>
      <c r="B49" s="16" t="s">
        <v>86</v>
      </c>
      <c r="C49" s="8" t="s">
        <v>87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5" t="s">
        <v>88</v>
      </c>
      <c r="B50" s="26">
        <f>(1+B46)^(1/252)-1</f>
        <v>5.0613328152837589E-4</v>
      </c>
      <c r="C50" s="5" t="s">
        <v>89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5" t="s">
        <v>90</v>
      </c>
      <c r="B51" s="26">
        <f>B50*B47</f>
        <v>5.4662394405064602E-4</v>
      </c>
      <c r="C51" s="5" t="s">
        <v>91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5" t="s">
        <v>92</v>
      </c>
      <c r="B52" s="27">
        <f>(1+B51)^252-1</f>
        <v>0.14764452082927759</v>
      </c>
      <c r="C52" s="5" t="s">
        <v>93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5" t="s">
        <v>94</v>
      </c>
      <c r="B53" s="27">
        <f>(1+B52)/(1+B46)-1</f>
        <v>1.0250458476476654E-2</v>
      </c>
      <c r="C53" s="5" t="s">
        <v>95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7.399999999999999" x14ac:dyDescent="0.3">
      <c r="A54" s="5" t="s">
        <v>96</v>
      </c>
      <c r="B54" s="28">
        <f>(1+B46)^(B47-1)-1</f>
        <v>1.0253273869412105E-2</v>
      </c>
      <c r="C54" s="5" t="s">
        <v>97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399999999999999" x14ac:dyDescent="0.3">
      <c r="A55" s="5" t="s">
        <v>98</v>
      </c>
      <c r="B55" s="28">
        <f>(1+B46)^B47-1</f>
        <v>0.14764771911565222</v>
      </c>
      <c r="C55" s="5" t="str">
        <f>"diferença vs. a cadeia diária: "&amp;TEXT((B55-B52)*100,"0,0000")&amp;" p.p."</f>
        <v>diferença vs. a cadeia diária: 0,0003 p.p.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5" t="s">
        <v>99</v>
      </c>
      <c r="B56" s="29">
        <f>(B47-1)*B46</f>
        <v>1.0880000000000011E-2</v>
      </c>
      <c r="C56" s="5" t="str">
        <f>"erra em "&amp;TEXT((B56-B54)*10000,"+0,0;-0,0")&amp;" bps contra o correto"</f>
        <v>erra em +6,3 bps contra o correto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5" t="s">
        <v>100</v>
      </c>
      <c r="B57" s="29">
        <f>B55-B46</f>
        <v>1.1647719115652211E-2</v>
      </c>
      <c r="C57" s="5" t="str">
        <f>"erra em "&amp;TEXT((B57-B54)*10000,"+0,0;-0,0")&amp;" bps contra o correto"</f>
        <v>erra em +13,9 bps contra o correto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30" t="str">
        <f>"NOTA DE MÉTODO (obrigatória): a cadeia diária (passos 1 a 4) devolve "&amp;TEXT(B52,"0,0000%")&amp;" e CDI + "&amp;TEXT(B53,"0,0000%")&amp;"; o atalho fechado devolve "&amp;TEXT(B55,"0,0000%")&amp;" e CDI + "&amp;TEXT(B54,"0,0000%")&amp;". Os dois caminhos NÃO são algebricamente idênticos: multiplicar a taxa diária por α não é o mesmo que elevar o fator anual a α. A diferença é de "&amp;TEXT((B55-B52)*100,"0,0000")&amp;_xlfn._LONGTEXT(" p.p. e é de MÉTODO, não de arredondamento intermediário: o slide 20 usa a cadeia diária (14,7645% / 1,0250%) e este arquivo usa o atalho fechado (14,7648% / 1,0253%) nas tabelas de referência. A tolerância de 0,02 p.p. da aba Cenários aceita as duas leit","uras; nenhuma das duas está errada — e vale dizer isso ao aluno.")</f>
        <v>NOTA DE MÉTODO (obrigatória): a cadeia diária (passos 1 a 4) devolve 14,7645% e CDI + 1,0250%; o atalho fechado devolve 14,7648% e CDI + 1,0253%. Os dois caminhos NÃO são algebricamente idênticos: multiplicar a taxa diária por α não é o mesmo que elevar o fator anual a α. A diferença é de 0,0003 p.p. e é de MÉTODO, não de arredondamento intermediário: o slide 20 usa a cadeia diária (14,7645% / 1,0250%) e este arquivo usa o atalho fechado (14,7648% / 1,0253%) nas tabelas de referência. A tolerância de 0,02 p.p. da aba Cenários aceita as duas leituras; nenhuma das duas está errada — e vale dizer isso ao aluno.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7" t="s">
        <v>101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8" t="s">
        <v>102</v>
      </c>
      <c r="B61" s="16" t="s">
        <v>103</v>
      </c>
      <c r="C61" s="16" t="s">
        <v>104</v>
      </c>
      <c r="D61" s="16" t="s">
        <v>105</v>
      </c>
      <c r="E61" s="16" t="s">
        <v>106</v>
      </c>
      <c r="F61" s="16" t="s">
        <v>107</v>
      </c>
      <c r="G61" s="5"/>
      <c r="H61" s="5"/>
      <c r="I61" s="5"/>
      <c r="J61" s="5"/>
      <c r="K61" s="5"/>
      <c r="L61" s="5"/>
      <c r="M61" s="5"/>
      <c r="N61" s="5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10">
        <f>$B$47</f>
        <v>1.08</v>
      </c>
      <c r="B62" s="11">
        <v>0.13600000000000001</v>
      </c>
      <c r="C62" s="11">
        <f>(1+B62)^$A62-1</f>
        <v>0.14764771911565222</v>
      </c>
      <c r="D62" s="31">
        <f>(1+B62)^($A62-1)-1</f>
        <v>1.0253273869412105E-2</v>
      </c>
      <c r="E62" s="11">
        <f>C62-B62</f>
        <v>1.1647719115652211E-2</v>
      </c>
      <c r="F62" s="32">
        <f>(E62-D62)*10000</f>
        <v>13.944452462401058</v>
      </c>
      <c r="G62" s="5"/>
      <c r="H62" s="5"/>
      <c r="I62" s="5"/>
      <c r="J62" s="5"/>
      <c r="K62" s="5"/>
      <c r="L62" s="5"/>
      <c r="M62" s="5"/>
      <c r="N62" s="5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10">
        <f>$B$47</f>
        <v>1.08</v>
      </c>
      <c r="B63" s="11">
        <v>0.124</v>
      </c>
      <c r="C63" s="11">
        <f>(1+B63)^$A63-1</f>
        <v>0.13456038690280447</v>
      </c>
      <c r="D63" s="31">
        <f>(1+B63)^($A63-1)-1</f>
        <v>9.395362013171038E-3</v>
      </c>
      <c r="E63" s="11">
        <f>C63-B63</f>
        <v>1.0560386902804475E-2</v>
      </c>
      <c r="F63" s="32">
        <f>(E63-D63)*10000</f>
        <v>11.65024889633437</v>
      </c>
      <c r="G63" s="5"/>
      <c r="H63" s="5"/>
      <c r="I63" s="5"/>
      <c r="J63" s="5"/>
      <c r="K63" s="5"/>
      <c r="L63" s="5"/>
      <c r="M63" s="5"/>
      <c r="N63" s="5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10">
        <f>$B$47</f>
        <v>1.08</v>
      </c>
      <c r="B64" s="11">
        <v>0.06</v>
      </c>
      <c r="C64" s="11">
        <f>(1+B64)^$A64-1</f>
        <v>6.4952738066030191E-2</v>
      </c>
      <c r="D64" s="31">
        <f>(1+B64)^($A64-1)-1</f>
        <v>4.6723944019153585E-3</v>
      </c>
      <c r="E64" s="11">
        <f>C64-B64</f>
        <v>4.9527380660301934E-3</v>
      </c>
      <c r="F64" s="32">
        <f>(E64-D64)*10000</f>
        <v>2.8034366411483491</v>
      </c>
      <c r="G64" s="5"/>
      <c r="H64" s="5"/>
      <c r="I64" s="5"/>
      <c r="J64" s="5"/>
      <c r="K64" s="5"/>
      <c r="L64" s="5"/>
      <c r="M64" s="5"/>
      <c r="N64" s="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10">
        <v>1.1000000000000001</v>
      </c>
      <c r="B65" s="11">
        <v>0.13600000000000001</v>
      </c>
      <c r="C65" s="11">
        <f>(1+B65)^$A65-1</f>
        <v>0.15057826178355072</v>
      </c>
      <c r="D65" s="31">
        <f>(1+B65)^($A65-1)-1</f>
        <v>1.2832976922139583E-2</v>
      </c>
      <c r="E65" s="11">
        <f>C65-B65</f>
        <v>1.4578261783550706E-2</v>
      </c>
      <c r="F65" s="32">
        <f>(E65-D65)*10000</f>
        <v>17.452848614111225</v>
      </c>
      <c r="G65" s="5"/>
      <c r="H65" s="5"/>
      <c r="I65" s="5"/>
      <c r="J65" s="5"/>
      <c r="K65" s="5"/>
      <c r="L65" s="5"/>
      <c r="M65" s="5"/>
      <c r="N65" s="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10">
        <v>1.1000000000000001</v>
      </c>
      <c r="B66" s="11">
        <v>0.124</v>
      </c>
      <c r="C66" s="11">
        <f>(1+B66)^$A66-1</f>
        <v>0.13721595027884415</v>
      </c>
      <c r="D66" s="31">
        <f>(1+B66)^($A66-1)-1</f>
        <v>1.1757962881533857E-2</v>
      </c>
      <c r="E66" s="11">
        <f>C66-B66</f>
        <v>1.3215950278844146E-2</v>
      </c>
      <c r="F66" s="32">
        <f>(E66-D66)*10000</f>
        <v>14.579873973102897</v>
      </c>
      <c r="G66" s="5"/>
      <c r="H66" s="5"/>
      <c r="I66" s="5"/>
      <c r="J66" s="5"/>
      <c r="K66" s="5"/>
      <c r="L66" s="5"/>
      <c r="M66" s="5"/>
      <c r="N66" s="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10">
        <v>1.1000000000000001</v>
      </c>
      <c r="B67" s="11">
        <v>0.06</v>
      </c>
      <c r="C67" s="11">
        <f>(1+B67)^$A67-1</f>
        <v>6.6194534171535979E-2</v>
      </c>
      <c r="D67" s="31">
        <f>(1+B67)^($A67-1)-1</f>
        <v>5.8439001618264541E-3</v>
      </c>
      <c r="E67" s="11">
        <f>C67-B67</f>
        <v>6.1945341715359814E-3</v>
      </c>
      <c r="F67" s="32">
        <f>(E67-D67)*10000</f>
        <v>3.5063400970952729</v>
      </c>
      <c r="G67" s="5"/>
      <c r="H67" s="5"/>
      <c r="I67" s="5"/>
      <c r="J67" s="5"/>
      <c r="K67" s="5"/>
      <c r="L67" s="5"/>
      <c r="M67" s="5"/>
      <c r="N67" s="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21" t="str">
        <f>"Leitura: o mesmo papel, o mesmo percentual — e o prêmio cai de CDI + "&amp;TEXT(D62,"0,00%")&amp;" para CDI + "&amp;TEXT(D64,"0,00%")&amp;" quando o CDI vai de "&amp;TEXT(B62,"0,00%")&amp;" para "&amp;TEXT(B64,"0,00%")&amp;". '% do CDI' é indexador relativo: quem compra percentual compra prêmio proporcional, não fixo."</f>
        <v>Leitura: o mesmo papel, o mesmo percentual — e o prêmio cai de CDI + 1,03% para CDI + 0,47% quando o CDI vai de 13,60% para 6,00%. '% do CDI' é indexador relativo: quem compra percentual compra prêmio proporcional, não fixo.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6" t="s">
        <v>108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5" t="s">
        <v>109</v>
      </c>
      <c r="B71" s="69">
        <v>0.9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5" t="s">
        <v>110</v>
      </c>
      <c r="B72" s="70">
        <v>0.15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7.399999999999999" x14ac:dyDescent="0.3">
      <c r="A73" s="5" t="s">
        <v>111</v>
      </c>
      <c r="B73" s="33">
        <f>B71/(1-B72)</f>
        <v>1.0588235294117647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8" t="s">
        <v>112</v>
      </c>
      <c r="B75" s="16" t="s">
        <v>113</v>
      </c>
      <c r="C75" s="16" t="s">
        <v>114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34">
        <v>0.9</v>
      </c>
      <c r="B76" s="35">
        <v>0.15</v>
      </c>
      <c r="C76" s="36">
        <f>A76/(1-B76)</f>
        <v>1.0588235294117647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34">
        <v>0.9</v>
      </c>
      <c r="B77" s="35">
        <v>0.22500000000000001</v>
      </c>
      <c r="C77" s="36">
        <f>A77/(1-B77)</f>
        <v>1.1612903225806452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34">
        <v>0.92</v>
      </c>
      <c r="B78" s="35">
        <v>0.17499999999999999</v>
      </c>
      <c r="C78" s="36">
        <f>A78/(1-B78)</f>
        <v>1.1151515151515152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21" t="str">
        <f>"Leitura: o investidor aceita taxa bruta menor porque não paga imposto — "&amp;TEXT(B71,"0,00%")&amp;" isentos equivalem a "&amp;TEXT(B73,"0,00%")&amp;" brutos com alíquota de "&amp;TEXT(B72,"0,0%")&amp;". O banco captura parte do imposto que o Tesouro dispensa e capta abaixo do CDI."</f>
        <v>Leitura: o investidor aceita taxa bruta menor porque não paga imposto — 90,00% isentos equivalem a 105,88% brutos com alíquota de 15,0%. O banco captura parte do imposto que o Tesouro dispensa e capta abaixo do CDI.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37" t="s">
        <v>115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6" t="s">
        <v>116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5" t="s">
        <v>117</v>
      </c>
      <c r="B83" s="66">
        <v>0.01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5" t="s">
        <v>118</v>
      </c>
      <c r="B84" s="70">
        <v>0.2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5" t="s">
        <v>119</v>
      </c>
      <c r="B85" s="71" t="s">
        <v>120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5" t="s">
        <v>121</v>
      </c>
      <c r="B86" s="66">
        <v>1E-4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5" t="s">
        <v>122</v>
      </c>
      <c r="B87" s="66">
        <v>0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7.399999999999999" x14ac:dyDescent="0.3">
      <c r="A88" s="5" t="s">
        <v>123</v>
      </c>
      <c r="B88" s="38">
        <f>IF(B85="Selic",(B83+B86-B87)/(1-B84),(B83+B86-B87+B84*$B$46)/(1-B84))</f>
        <v>1.2624999999999999E-2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7.399999999999999" x14ac:dyDescent="0.3">
      <c r="A89" s="5" t="s">
        <v>124</v>
      </c>
      <c r="B89" s="38">
        <f>B83/(1-B84)</f>
        <v>1.2499999999999999E-2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21" t="str">
        <f>"Leitura: cada real captado a CDI + "&amp;TEXT(B83,"0,00%")&amp;" só rende no ativo livre depois do compulsório de "&amp;TEXT(B84,"0,0%")&amp;" — o custo efetivo sobe para CDI + "&amp;TEXT(B88,"0,0000%")&amp;". Com FGC e spread fiscal em zero, é exatamente a conta do slide 22: CDI + "&amp;TEXT(B89,"0,00%")&amp;"."</f>
        <v>Leitura: cada real captado a CDI + 1,00% só rende no ativo livre depois do compulsório de 20,0% — o custo efetivo sobe para CDI + 1,2625%. Com FGC e spread fiscal em zero, é exatamente a conta do slide 22: CDI + 1,25%.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22" t="s">
        <v>125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8" t="s">
        <v>126</v>
      </c>
      <c r="B93" s="8" t="s">
        <v>127</v>
      </c>
      <c r="C93" s="8" t="s">
        <v>128</v>
      </c>
      <c r="D93" s="8" t="s">
        <v>129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5" t="s">
        <v>130</v>
      </c>
      <c r="B94" s="5" t="s">
        <v>131</v>
      </c>
      <c r="C94" s="5" t="s">
        <v>132</v>
      </c>
      <c r="D94" s="5" t="s">
        <v>133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5" t="s">
        <v>134</v>
      </c>
      <c r="B95" s="5" t="s">
        <v>135</v>
      </c>
      <c r="C95" s="5" t="s">
        <v>210</v>
      </c>
      <c r="D95" s="5" t="s">
        <v>136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5" t="s">
        <v>137</v>
      </c>
      <c r="B96" s="5" t="s">
        <v>138</v>
      </c>
      <c r="C96" s="5" t="s">
        <v>139</v>
      </c>
      <c r="D96" s="5" t="s">
        <v>140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37" t="s">
        <v>141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</sheetData>
  <sheetProtection sheet="1" objects="1" scenarios="1" sort="0" autoFilter="0"/>
  <dataValidations count="2">
    <dataValidation type="list" allowBlank="1" showInputMessage="1" showErrorMessage="1" sqref="B72" xr:uid="{93B29E05-CE7C-4DA4-8D33-B664B0826A8C}">
      <formula1>$N$5:$N$8</formula1>
    </dataValidation>
    <dataValidation type="list" allowBlank="1" showInputMessage="1" showErrorMessage="1" sqref="B85" xr:uid="{BC197C62-7E90-4143-9871-81C2C28C3A75}">
      <formula1>$N$10:$N$11</formula1>
    </dataValidation>
  </dataValidation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10E3-1531-46A3-95B6-FF1B99374CC5}">
  <dimension ref="A1:Z70"/>
  <sheetViews>
    <sheetView showGridLines="0" workbookViewId="0"/>
  </sheetViews>
  <sheetFormatPr defaultColWidth="9.77734375" defaultRowHeight="14.4" x14ac:dyDescent="0.3"/>
  <cols>
    <col min="1" max="1" width="61.109375" customWidth="1"/>
    <col min="2" max="2" width="22.21875" customWidth="1"/>
    <col min="3" max="3" width="55.5546875" customWidth="1"/>
    <col min="4" max="4" width="13.88671875" customWidth="1"/>
    <col min="5" max="5" width="16.6640625" customWidth="1"/>
    <col min="8" max="8" width="51.88671875" customWidth="1"/>
  </cols>
  <sheetData>
    <row r="1" spans="1:26" ht="21" x14ac:dyDescent="0.4">
      <c r="A1" s="39" t="s">
        <v>145</v>
      </c>
      <c r="B1" s="2"/>
      <c r="C1" s="2"/>
      <c r="D1" s="2"/>
      <c r="E1" s="2"/>
      <c r="F1" s="3"/>
      <c r="G1" s="3"/>
      <c r="H1" s="40" t="s">
        <v>202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4" t="s">
        <v>146</v>
      </c>
      <c r="B2" s="2"/>
      <c r="C2" s="2"/>
      <c r="D2" s="2"/>
      <c r="E2" s="2"/>
      <c r="F2" s="3"/>
      <c r="G2" s="3"/>
      <c r="H2" s="41" t="s">
        <v>203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5"/>
      <c r="B3" s="5"/>
      <c r="C3" s="5"/>
      <c r="D3" s="5"/>
      <c r="E3" s="5"/>
      <c r="F3" s="3"/>
      <c r="G3" s="3"/>
      <c r="H3" s="41" t="s">
        <v>204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7" t="s">
        <v>147</v>
      </c>
      <c r="B4" s="5"/>
      <c r="C4" s="5"/>
      <c r="D4" s="5"/>
      <c r="E4" s="5"/>
      <c r="F4" s="3"/>
      <c r="G4" s="3"/>
      <c r="H4" s="41" t="s">
        <v>205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">
      <c r="A5" s="5" t="s">
        <v>148</v>
      </c>
      <c r="B5" s="5"/>
      <c r="C5" s="5"/>
      <c r="D5" s="5"/>
      <c r="E5" s="5"/>
      <c r="F5" s="3"/>
      <c r="G5" s="3"/>
      <c r="H5" s="4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">
      <c r="A6" s="8" t="s">
        <v>149</v>
      </c>
      <c r="B6" s="8" t="s">
        <v>150</v>
      </c>
      <c r="C6" s="8" t="s">
        <v>151</v>
      </c>
      <c r="D6" s="8" t="s">
        <v>152</v>
      </c>
      <c r="E6" s="8" t="s">
        <v>153</v>
      </c>
      <c r="F6" s="3"/>
      <c r="G6" s="3"/>
      <c r="H6" s="41" t="s">
        <v>206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">
      <c r="A7" s="5" t="s">
        <v>154</v>
      </c>
      <c r="B7" s="68"/>
      <c r="C7" s="18">
        <f>Simulador!D18</f>
        <v>97.537099999999995</v>
      </c>
      <c r="D7" s="42">
        <v>0.02</v>
      </c>
      <c r="E7" s="43" t="str">
        <f>IF(B7="","— responda",IF(ABS(B7-C7)&lt;=D7,"✓ correto","✗ revise"))</f>
        <v>— responda</v>
      </c>
      <c r="F7" s="3"/>
      <c r="G7" s="3"/>
      <c r="H7" s="41" t="s">
        <v>207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5" t="s">
        <v>155</v>
      </c>
      <c r="B8" s="72"/>
      <c r="C8" s="44">
        <f>Simulador!E18*100</f>
        <v>-2.4629000000000012</v>
      </c>
      <c r="D8" s="42">
        <v>0.05</v>
      </c>
      <c r="E8" s="43" t="str">
        <f>IF(B8="","— responda",IF(ABS(B8-C8)&lt;=D8,"✓ correto","✗ revise"))</f>
        <v>— responda</v>
      </c>
      <c r="F8" s="3"/>
      <c r="G8" s="3"/>
      <c r="H8" s="41" t="s">
        <v>208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3">
      <c r="A9" s="5" t="s">
        <v>156</v>
      </c>
      <c r="B9" s="5"/>
      <c r="C9" s="5"/>
      <c r="D9" s="5"/>
      <c r="E9" s="5"/>
      <c r="F9" s="3"/>
      <c r="G9" s="3"/>
      <c r="H9" s="4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5"/>
      <c r="B10" s="5"/>
      <c r="C10" s="5"/>
      <c r="D10" s="5"/>
      <c r="E10" s="5"/>
      <c r="F10" s="3"/>
      <c r="G10" s="3"/>
      <c r="H10" s="41" t="s">
        <v>193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">
      <c r="A11" s="7" t="s">
        <v>157</v>
      </c>
      <c r="B11" s="5"/>
      <c r="C11" s="5"/>
      <c r="D11" s="5"/>
      <c r="E11" s="5"/>
      <c r="F11" s="3"/>
      <c r="G11" s="3"/>
      <c r="H11" s="41" t="s">
        <v>194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">
      <c r="A12" s="5" t="s">
        <v>158</v>
      </c>
      <c r="B12" s="5"/>
      <c r="C12" s="5"/>
      <c r="D12" s="5"/>
      <c r="E12" s="5"/>
      <c r="F12" s="3"/>
      <c r="G12" s="3"/>
      <c r="H12" s="41" t="s">
        <v>195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">
      <c r="A13" s="8" t="s">
        <v>149</v>
      </c>
      <c r="B13" s="8" t="s">
        <v>150</v>
      </c>
      <c r="C13" s="8" t="s">
        <v>151</v>
      </c>
      <c r="D13" s="8" t="s">
        <v>152</v>
      </c>
      <c r="E13" s="8" t="s">
        <v>153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5" t="s">
        <v>159</v>
      </c>
      <c r="B14" s="67"/>
      <c r="C14" s="17">
        <f>Simulador!D32</f>
        <v>39.682539682539684</v>
      </c>
      <c r="D14" s="17">
        <v>500</v>
      </c>
      <c r="E14" s="43" t="str">
        <f>IF(B14="","— responda",IF(ABS(B14-C14)&lt;=D14,"✓ correto","✗ revise"))</f>
        <v>— responda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">
      <c r="A15" s="5" t="s">
        <v>160</v>
      </c>
      <c r="B15" s="67"/>
      <c r="C15" s="17">
        <f>Simulador!F32</f>
        <v>20000</v>
      </c>
      <c r="D15" s="17">
        <v>500</v>
      </c>
      <c r="E15" s="43" t="str">
        <f>IF(B15="","— responda",IF(ABS(B15-C15)&lt;=D15,"✓ correto","✗ revise"))</f>
        <v>— responda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5" t="s">
        <v>161</v>
      </c>
      <c r="B16" s="73"/>
      <c r="C16" s="5" t="s">
        <v>162</v>
      </c>
      <c r="D16" s="5"/>
      <c r="E16" s="43" t="str">
        <f>IF(B16="","— responda",IF(B16="o indexador repactua no dia útil seguinte","✓ correto","✗ revise"))</f>
        <v>— responda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">
      <c r="A17" s="5"/>
      <c r="B17" s="5"/>
      <c r="C17" s="5"/>
      <c r="D17" s="5"/>
      <c r="E17" s="5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">
      <c r="A18" s="7" t="s">
        <v>163</v>
      </c>
      <c r="B18" s="5"/>
      <c r="C18" s="5"/>
      <c r="D18" s="5"/>
      <c r="E18" s="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5" t="s">
        <v>164</v>
      </c>
      <c r="B19" s="5"/>
      <c r="C19" s="5"/>
      <c r="D19" s="5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5" t="s">
        <v>165</v>
      </c>
      <c r="B20" s="73"/>
      <c r="C20" s="5" t="s">
        <v>201</v>
      </c>
      <c r="D20" s="5"/>
      <c r="E20" s="43" t="str">
        <f>IF(B20="","— responda",IF(B20="certo quanto ao juro — errado quanto ao spread","✓ correto","✗ revise"))</f>
        <v>— responda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5" t="s">
        <v>166</v>
      </c>
      <c r="B21" s="73"/>
      <c r="C21" s="5"/>
      <c r="D21" s="5"/>
      <c r="E21" s="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5" t="s">
        <v>167</v>
      </c>
      <c r="B22" s="73"/>
      <c r="C22" s="45" t="str">
        <f>IF(UPPER(B22)="SIM",_xlfn._LONGTEXT("Certo quanto ao juro: a duration de juros de um pós-fixado é de cerca de 1 dia útil, porque o indexador repactua todo dia. Errado quanto ao spread: a spread duration corre até o vencimento (du/252) e abre com oferta, crédito e apetite. Em 2002 e no fim de"," 2024, a abertura do deságio da LFT levou fundos DI — vendidos como 'sem risco' — a cota negativa, com o CDI parado."),"")</f>
        <v/>
      </c>
      <c r="D22" s="5"/>
      <c r="E22" s="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5"/>
      <c r="B23" s="5"/>
      <c r="C23" s="5"/>
      <c r="D23" s="5"/>
      <c r="E23" s="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7" t="s">
        <v>168</v>
      </c>
      <c r="B24" s="5"/>
      <c r="C24" s="5"/>
      <c r="D24" s="5"/>
      <c r="E24" s="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">
      <c r="A25" s="5" t="s">
        <v>169</v>
      </c>
      <c r="B25" s="5"/>
      <c r="C25" s="5"/>
      <c r="D25" s="5"/>
      <c r="E25" s="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5" t="s">
        <v>170</v>
      </c>
      <c r="B26" s="69">
        <v>1.1000000000000001</v>
      </c>
      <c r="C26" s="5"/>
      <c r="D26" s="5"/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5" t="s">
        <v>171</v>
      </c>
      <c r="B27" s="66">
        <v>0.13600000000000001</v>
      </c>
      <c r="C27" s="5"/>
      <c r="D27" s="5"/>
      <c r="E27" s="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8" t="s">
        <v>172</v>
      </c>
      <c r="B28" s="8" t="s">
        <v>150</v>
      </c>
      <c r="C28" s="8" t="s">
        <v>151</v>
      </c>
      <c r="D28" s="8" t="s">
        <v>152</v>
      </c>
      <c r="E28" s="8" t="s">
        <v>153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5" t="s">
        <v>173</v>
      </c>
      <c r="B29" s="68"/>
      <c r="C29" s="23">
        <f>((1+B27)^(B26-1)-1)*100</f>
        <v>1.2832976922139583</v>
      </c>
      <c r="D29" s="42">
        <v>0.02</v>
      </c>
      <c r="E29" s="43" t="str">
        <f>IF(B29="","— responda",IF(ABS(B29-C29)&lt;=D29,"✓ correto","✗ revise"))</f>
        <v>— responda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5" t="s">
        <v>174</v>
      </c>
      <c r="B30" s="68"/>
      <c r="C30" s="23">
        <f>(B26-1)*B27*100</f>
        <v>1.3600000000000012</v>
      </c>
      <c r="D30" s="42">
        <v>0.02</v>
      </c>
      <c r="E30" s="43" t="str">
        <f>IF(B30="","— responda",IF(ABS(B30-C30)&lt;=D30,"✓ correto","✗ revise"))</f>
        <v>— responda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5" t="s">
        <v>175</v>
      </c>
      <c r="B31" s="68"/>
      <c r="C31" s="23">
        <f>((1+B27)^B26-1-B27)*100</f>
        <v>1.4578261783550706</v>
      </c>
      <c r="D31" s="42">
        <v>0.02</v>
      </c>
      <c r="E31" s="43" t="str">
        <f>IF(B31="","— responda",IF(ABS(B31-C31)&lt;=D31,"✓ correto","✗ revise"))</f>
        <v>— responda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21" t="str">
        <f>"Leitura do gabarito: "&amp;TEXT(B26,"0%")&amp;" do CDI a "&amp;TEXT(B27,"0,00%")&amp;" equivalem a CDI + "&amp;TEXT(C29,"0,0000")&amp;" p.p.; a conta de cabeça dá "&amp;TEXT(C30,"0,00")&amp;" p.p. e a subtração de taxas "&amp;TEXT(C31,"0,0000")&amp;" p.p. — um erro de "&amp;TEXT((C31-C29)*100,"0,0")&amp;" bps."</f>
        <v>Leitura do gabarito: 110% do CDI a 13,60% equivalem a CDI + 1,2833 p.p.; a conta de cabeça dá 1,36 p.p. e a subtração de taxas 1,4578 p.p. — um erro de 17,5 bps.</v>
      </c>
      <c r="B32" s="5"/>
      <c r="C32" s="5"/>
      <c r="D32" s="5"/>
      <c r="E32" s="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5"/>
      <c r="B33" s="5"/>
      <c r="C33" s="5"/>
      <c r="D33" s="5"/>
      <c r="E33" s="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7" t="s">
        <v>176</v>
      </c>
      <c r="B34" s="5"/>
      <c r="C34" s="5"/>
      <c r="D34" s="5"/>
      <c r="E34" s="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5" t="s">
        <v>177</v>
      </c>
      <c r="B35" s="5"/>
      <c r="C35" s="5"/>
      <c r="D35" s="5"/>
      <c r="E35" s="5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5" t="s">
        <v>178</v>
      </c>
      <c r="B36" s="69">
        <v>0.92</v>
      </c>
      <c r="C36" s="5"/>
      <c r="D36" s="5"/>
      <c r="E36" s="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5" t="s">
        <v>179</v>
      </c>
      <c r="B37" s="70">
        <v>0.17499999999999999</v>
      </c>
      <c r="C37" s="5"/>
      <c r="D37" s="5"/>
      <c r="E37" s="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5" t="s">
        <v>180</v>
      </c>
      <c r="B38" s="66">
        <v>0.01</v>
      </c>
      <c r="C38" s="70">
        <v>0.2</v>
      </c>
      <c r="D38" s="5"/>
      <c r="E38" s="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8" t="s">
        <v>149</v>
      </c>
      <c r="B39" s="8" t="s">
        <v>150</v>
      </c>
      <c r="C39" s="8" t="s">
        <v>151</v>
      </c>
      <c r="D39" s="8" t="s">
        <v>152</v>
      </c>
      <c r="E39" s="8" t="s">
        <v>153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5" t="s">
        <v>181</v>
      </c>
      <c r="B40" s="72"/>
      <c r="C40" s="44">
        <f>B36/(1-B37)*100</f>
        <v>111.51515151515153</v>
      </c>
      <c r="D40" s="42">
        <v>0.2</v>
      </c>
      <c r="E40" s="43" t="str">
        <f>IF(B40="","— responda",IF(ABS(B40-C40)&lt;=D40,"✓ correto","✗ revise"))</f>
        <v>— responda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5" t="s">
        <v>182</v>
      </c>
      <c r="B41" s="68"/>
      <c r="C41" s="23">
        <f>B38/(1-C38)*100</f>
        <v>1.25</v>
      </c>
      <c r="D41" s="42">
        <v>0.02</v>
      </c>
      <c r="E41" s="43" t="str">
        <f>IF(B41="","— responda",IF(ABS(B41-C41)&lt;=D41,"✓ correto","✗ revise"))</f>
        <v>— responda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5"/>
      <c r="B42" s="5"/>
      <c r="C42" s="5"/>
      <c r="D42" s="5"/>
      <c r="E42" s="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7" t="s">
        <v>183</v>
      </c>
      <c r="B43" s="5"/>
      <c r="C43" s="5"/>
      <c r="D43" s="5"/>
      <c r="E43" s="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5" t="s">
        <v>184</v>
      </c>
      <c r="B44" s="5"/>
      <c r="C44" s="5"/>
      <c r="D44" s="5"/>
      <c r="E44" s="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5" t="s">
        <v>150</v>
      </c>
      <c r="B45" s="73"/>
      <c r="C45" s="5"/>
      <c r="D45" s="5"/>
      <c r="E45" s="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5" t="s">
        <v>167</v>
      </c>
      <c r="B46" s="73"/>
      <c r="C46" s="45" t="str">
        <f>IF(UPPER(B46)="SIM","O percentual incide sobre a taxa diária, então o prêmio em p.p. encolhe quando o CDI cai: os mesmos 108% valem CDI + "&amp;TEXT(Simulador!D62,"0,00%")&amp;" com o CDI a "&amp;TEXT(Simulador!B62,"0,00%")&amp;" e CDI + "&amp;TEXT(Simulador!D64,"0,00%")&amp;" com o CDI a "&amp;TEXT(Simulador!B64,"0,00%")&amp;". Quem quer proteger o excesso negocia CDI + spread fixo; quem compra % do CDI está comprando um prêmio proporcional, não fixo.","")</f>
        <v/>
      </c>
      <c r="D46" s="5"/>
      <c r="E46" s="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5"/>
      <c r="B47" s="5"/>
      <c r="C47" s="5"/>
      <c r="D47" s="5"/>
      <c r="E47" s="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7" t="s">
        <v>185</v>
      </c>
      <c r="B48" s="5"/>
      <c r="C48" s="5"/>
      <c r="D48" s="5"/>
      <c r="E48" s="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5" t="s">
        <v>186</v>
      </c>
      <c r="B49" s="5"/>
      <c r="C49" s="5"/>
      <c r="D49" s="5"/>
      <c r="E49" s="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5" t="s">
        <v>187</v>
      </c>
      <c r="B50" s="46">
        <f>Simulador!B46</f>
        <v>0.13600000000000001</v>
      </c>
      <c r="C50" s="5"/>
      <c r="D50" s="5"/>
      <c r="E50" s="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5" t="s">
        <v>188</v>
      </c>
      <c r="B51" s="47">
        <f>Simulador!B72</f>
        <v>0.15</v>
      </c>
      <c r="C51" s="5"/>
      <c r="D51" s="5"/>
      <c r="E51" s="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8" t="s">
        <v>189</v>
      </c>
      <c r="B52" s="8" t="s">
        <v>190</v>
      </c>
      <c r="C52" s="8" t="s">
        <v>191</v>
      </c>
      <c r="D52" s="8" t="s">
        <v>192</v>
      </c>
      <c r="E52" s="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5" t="s">
        <v>193</v>
      </c>
      <c r="B53" s="74">
        <v>1.08</v>
      </c>
      <c r="C53" s="36">
        <f>B53</f>
        <v>1.08</v>
      </c>
      <c r="D53" s="43">
        <f>RANK(C53,$C$53:$C$55)</f>
        <v>1</v>
      </c>
      <c r="E53" s="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5" t="s">
        <v>194</v>
      </c>
      <c r="B54" s="74">
        <v>0.9</v>
      </c>
      <c r="C54" s="36">
        <f>B54/(1-B51)</f>
        <v>1.0588235294117647</v>
      </c>
      <c r="D54" s="43">
        <f>RANK(C54,$C$53:$C$55)</f>
        <v>3</v>
      </c>
      <c r="E54" s="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5" t="s">
        <v>195</v>
      </c>
      <c r="B55" s="75">
        <v>0.01</v>
      </c>
      <c r="C55" s="36">
        <f>1+LN(1+B55)/LN(1+B50)</f>
        <v>1.078033658207936</v>
      </c>
      <c r="D55" s="43">
        <f>RANK(C55,$C$53:$C$55)</f>
        <v>2</v>
      </c>
      <c r="E55" s="5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5" t="s">
        <v>196</v>
      </c>
      <c r="B56" s="5"/>
      <c r="C56" s="5"/>
      <c r="D56" s="5"/>
      <c r="E56" s="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5" t="s">
        <v>197</v>
      </c>
      <c r="B57" s="73"/>
      <c r="C57" s="5" t="str">
        <f>INDEX($A$53:$A$55,MATCH(1,$D$53:$D$55,0))</f>
        <v>(i) CDB</v>
      </c>
      <c r="D57" s="5"/>
      <c r="E57" s="43" t="str">
        <f>IF(B57="","— responda",IF(B57=C57,"✓ correto","✗ revise"))</f>
        <v>— responda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5" t="s">
        <v>198</v>
      </c>
      <c r="B58" s="73"/>
      <c r="C58" s="5" t="str">
        <f>INDEX($A$53:$A$55,MATCH(2,$D$53:$D$55,0))</f>
        <v>(iii) LF a CDI + spread</v>
      </c>
      <c r="D58" s="5"/>
      <c r="E58" s="43" t="str">
        <f>IF(B58="","— responda",IF(B58=C58,"✓ correto","✗ revise"))</f>
        <v>— responda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5" t="s">
        <v>199</v>
      </c>
      <c r="B59" s="73"/>
      <c r="C59" s="5" t="str">
        <f>INDEX($A$53:$A$55,MATCH(3,$D$53:$D$55,0))</f>
        <v>(ii) LCI (isenta → gross-up)</v>
      </c>
      <c r="D59" s="5"/>
      <c r="E59" s="43" t="str">
        <f>IF(B59="","— responda",IF(B59=C59,"✓ correto","✗ revise"))</f>
        <v>— responda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21" t="str">
        <f>"Leitura: com CDI a "&amp;TEXT(B50,"0,00%")&amp;" e alíquota de "&amp;TEXT(B51,"0,0%")&amp;", a régua bruta dá "&amp;TEXT(C53,"0,00%")&amp;" no CDB, "&amp;TEXT(C54,"0,00%")&amp;" na LCI e "&amp;TEXT(C55,"0,00%")&amp;" na LF — ordem: "&amp;C57&amp;" &gt; "&amp;C58&amp;" &gt; "&amp;C59&amp;". Mude o CDI (bloco 3) ou a alíquota (bloco 4) na aba Simulador e a ordem se recalcula sozinha."</f>
        <v>Leitura: com CDI a 13,60% e alíquota de 15,0%, a régua bruta dá 108,00% no CDB, 105,88% na LCI e 107,80% na LF — ordem: (i) CDB &gt; (iii) LF a CDI + spread &gt; (ii) LCI (isenta → gross-up). Mude o CDI (bloco 3) ou a alíquota (bloco 4) na aba Simulador e a ordem se recalcula sozinha.</v>
      </c>
      <c r="B60" s="5"/>
      <c r="C60" s="5"/>
      <c r="D60" s="5"/>
      <c r="E60" s="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5" t="s">
        <v>200</v>
      </c>
      <c r="B61" s="5"/>
      <c r="C61" s="5"/>
      <c r="D61" s="5"/>
      <c r="E61" s="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</sheetData>
  <sheetProtection sheet="1" objects="1" scenarios="1" sort="0" autoFilter="0"/>
  <dataValidations count="3">
    <dataValidation type="list" allowBlank="1" showInputMessage="1" showErrorMessage="1" sqref="B16" xr:uid="{6D9E62BE-47C3-4357-AECF-867E83FECC55}">
      <formula1>$H$2:$H$4</formula1>
    </dataValidation>
    <dataValidation type="list" allowBlank="1" showInputMessage="1" showErrorMessage="1" sqref="B20" xr:uid="{5AFB79F8-728F-404E-A09E-A3532ECC551D}">
      <formula1>$H$6:$H$8</formula1>
    </dataValidation>
    <dataValidation type="list" allowBlank="1" showInputMessage="1" showErrorMessage="1" sqref="B57 B58 B59" xr:uid="{1802129A-7BC8-4EDB-8BE7-20BAA82C93B9}">
      <formula1>$H$10:$H$12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5395-F154-4289-A054-BB53E36FD6B0}">
  <dimension ref="A1:Z130"/>
  <sheetViews>
    <sheetView showGridLines="0" workbookViewId="0"/>
  </sheetViews>
  <sheetFormatPr defaultColWidth="9.77734375" defaultRowHeight="14.4" x14ac:dyDescent="0.3"/>
  <cols>
    <col min="1" max="1" width="144.44140625" customWidth="1"/>
  </cols>
  <sheetData>
    <row r="1" spans="1:26" ht="21" x14ac:dyDescent="0.4">
      <c r="A1" s="39" t="s">
        <v>211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4" t="s">
        <v>212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5" t="s">
        <v>213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">
      <c r="A6" s="5" t="s">
        <v>214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5" t="s">
        <v>215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3">
      <c r="A9" s="5" t="s">
        <v>216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5" t="s">
        <v>217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">
      <c r="A11" s="5" t="s">
        <v>218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">
      <c r="A12" s="5" t="s">
        <v>219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">
      <c r="A13" s="5" t="s">
        <v>220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">
      <c r="A14" s="5" t="s">
        <v>221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">
      <c r="A15" s="5" t="s">
        <v>222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">
      <c r="A16" s="5" t="s">
        <v>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">
      <c r="A17" s="5" t="s">
        <v>223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">
      <c r="A18" s="5" t="s">
        <v>224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">
      <c r="A20" s="5" t="s">
        <v>225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">
      <c r="A21" s="5" t="s">
        <v>226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">
      <c r="A23" s="5" t="s">
        <v>227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">
      <c r="A24" s="5" t="s">
        <v>228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">
      <c r="A26" s="5" t="s">
        <v>229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5" t="s">
        <v>230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">
      <c r="A28" s="5" t="s">
        <v>231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">
      <c r="A29" s="5" t="s">
        <v>232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">
      <c r="A30" s="5" t="s">
        <v>233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">
      <c r="A31" s="5" t="s">
        <v>234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">
      <c r="A32" s="5" t="s">
        <v>235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">
      <c r="A33" s="5" t="s">
        <v>236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">
      <c r="A34" s="5" t="s">
        <v>237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">
      <c r="A35" s="5" t="s">
        <v>238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">
      <c r="A36" s="5" t="s">
        <v>239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">
      <c r="A37" s="5" t="s">
        <v>240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">
      <c r="A38" s="5" t="s">
        <v>241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">
      <c r="A39" s="5" t="s">
        <v>242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">
      <c r="A41" s="5" t="s">
        <v>243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">
      <c r="A42" s="5" t="s">
        <v>244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">
      <c r="A43" s="5" t="s">
        <v>245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">
      <c r="A44" s="5" t="s">
        <v>246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">
      <c r="A45" s="5" t="s">
        <v>247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">
      <c r="A46" s="5" t="s">
        <v>248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">
      <c r="A47" s="5" t="s">
        <v>249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5" t="s">
        <v>250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">
      <c r="A49" s="5" t="s">
        <v>251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">
      <c r="A50" s="5" t="s">
        <v>252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">
      <c r="A52" s="5" t="s">
        <v>253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5" t="s">
        <v>254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5" t="s">
        <v>255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5" t="s">
        <v>256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">
      <c r="A56" s="5" t="s">
        <v>257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5" t="s">
        <v>258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5" t="s">
        <v>259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">
      <c r="A59" s="5" t="s">
        <v>260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">
      <c r="A60" s="5" t="s">
        <v>261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">
      <c r="A62" s="5" t="s">
        <v>262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">
      <c r="A63" s="5" t="s">
        <v>263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">
      <c r="A64" s="5" t="s">
        <v>264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5" t="s">
        <v>265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5" t="s">
        <v>266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5" t="s">
        <v>267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5" t="s">
        <v>268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5" t="s">
        <v>269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5" t="s">
        <v>270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5" t="s">
        <v>271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">
      <c r="A72" s="5" t="s">
        <v>272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5" t="s">
        <v>273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5" t="s">
        <v>274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5" t="s">
        <v>275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5" t="s">
        <v>276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5" t="s">
        <v>277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5" t="s">
        <v>278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5" t="s">
        <v>279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5" t="s">
        <v>280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5" t="s">
        <v>281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5" t="s">
        <v>282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">
      <c r="A84" s="5" t="s">
        <v>283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5" t="s">
        <v>284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5" t="s">
        <v>285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5" t="s">
        <v>286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5" t="s">
        <v>287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5" t="s">
        <v>288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5" t="s">
        <v>289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5" t="s">
        <v>290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5" t="s">
        <v>291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5" t="s">
        <v>292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5" t="s">
        <v>293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5" t="s">
        <v>294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5" t="s">
        <v>295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5" t="s">
        <v>296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5" t="s">
        <v>297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5" t="s">
        <v>298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5" t="s">
        <v>299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5" t="s">
        <v>300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5" t="s">
        <v>301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5" t="s">
        <v>302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5" t="s">
        <v>303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5" t="s">
        <v>304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5" t="s">
        <v>305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5" t="s">
        <v>306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5" t="s">
        <v>307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5" t="s">
        <v>308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5" t="s">
        <v>309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5" t="s">
        <v>310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5" t="s">
        <v>311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5" t="s">
        <v>312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5" t="s">
        <v>313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5" t="s">
        <v>314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5" t="s">
        <v>315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5" t="s">
        <v>316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5" t="s">
        <v>317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5" t="s">
        <v>318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</sheetData>
  <sheetProtection sheet="1" objects="1" scenarios="1" sort="0" autoFilter="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2026-09-08T21:49:36Z</dcterms:created>
  <dcterms:modified xsi:type="dcterms:W3CDTF">2026-09-08T22:18:03Z</dcterms:modified>
</cp:coreProperties>
</file>