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isciplinas\FGV - Disciplinas\Operações de Tesouraria em IFs\Avaliações\"/>
    </mc:Choice>
  </mc:AlternateContent>
  <xr:revisionPtr revIDLastSave="0" documentId="8_{DE6A3241-97B6-419F-B6B5-B79EEA8B2412}" xr6:coauthVersionLast="47" xr6:coauthVersionMax="47" xr10:uidLastSave="{00000000-0000-0000-0000-000000000000}"/>
  <bookViews>
    <workbookView xWindow="-108" yWindow="-108" windowWidth="23256" windowHeight="12456" xr2:uid="{E5C52599-A423-4E45-A476-70EEA8753457}"/>
  </bookViews>
  <sheets>
    <sheet name="Instruções" sheetId="2" r:id="rId1"/>
    <sheet name="Simulador" sheetId="3" r:id="rId2"/>
    <sheet name="Cenários" sheetId="4" r:id="rId3"/>
    <sheet name="Promp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32" i="4" l="1"/>
  <c r="E29" i="4"/>
  <c r="D29" i="4"/>
  <c r="E28" i="4"/>
  <c r="E25" i="4"/>
  <c r="D25" i="4"/>
  <c r="E24" i="4"/>
  <c r="D24" i="4"/>
  <c r="E23" i="4"/>
  <c r="D23" i="4"/>
  <c r="E20" i="4"/>
  <c r="D20" i="4"/>
  <c r="E19" i="4"/>
  <c r="D19" i="4"/>
  <c r="E16" i="4"/>
  <c r="D16" i="4"/>
  <c r="E15" i="4"/>
  <c r="D15" i="4"/>
  <c r="E12" i="4"/>
  <c r="E11" i="4"/>
  <c r="D11" i="4"/>
  <c r="E8" i="4"/>
  <c r="D8" i="4"/>
  <c r="E7" i="4"/>
  <c r="D7" i="4"/>
  <c r="B36" i="2"/>
  <c r="B31" i="2"/>
  <c r="B27" i="2"/>
  <c r="B24" i="2"/>
  <c r="L25" i="3"/>
  <c r="K25" i="3"/>
  <c r="L24" i="3"/>
  <c r="K24" i="3"/>
  <c r="L23" i="3"/>
  <c r="K23" i="3"/>
  <c r="L22" i="3"/>
  <c r="K22" i="3"/>
  <c r="F115" i="3"/>
  <c r="D115" i="3"/>
  <c r="E115" i="3" s="1"/>
  <c r="C115" i="3"/>
  <c r="E114" i="3"/>
  <c r="D114" i="3"/>
  <c r="F114" i="3" s="1"/>
  <c r="C114" i="3"/>
  <c r="F113" i="3"/>
  <c r="E113" i="3"/>
  <c r="D113" i="3"/>
  <c r="C113" i="3"/>
  <c r="B114" i="3"/>
  <c r="C108" i="3"/>
  <c r="C107" i="3"/>
  <c r="C106" i="3"/>
  <c r="C105" i="3"/>
  <c r="B101" i="3"/>
  <c r="C100" i="3"/>
  <c r="C99" i="3"/>
  <c r="C98" i="3"/>
  <c r="C97" i="3"/>
  <c r="C96" i="3"/>
  <c r="B93" i="3"/>
  <c r="C92" i="3"/>
  <c r="C91" i="3"/>
  <c r="C90" i="3"/>
  <c r="C89" i="3"/>
  <c r="C85" i="3"/>
  <c r="C84" i="3"/>
  <c r="C83" i="3"/>
  <c r="C82" i="3"/>
  <c r="C80" i="3"/>
  <c r="C79" i="3"/>
  <c r="F78" i="3"/>
  <c r="E78" i="3"/>
  <c r="F77" i="3"/>
  <c r="E77" i="3"/>
  <c r="D77" i="3"/>
  <c r="C77" i="3"/>
  <c r="B77" i="3"/>
  <c r="F76" i="3"/>
  <c r="E76" i="3"/>
  <c r="D76" i="3"/>
  <c r="C76" i="3"/>
  <c r="B76" i="3"/>
  <c r="F75" i="3"/>
  <c r="E75" i="3"/>
  <c r="D75" i="3"/>
  <c r="C75" i="3"/>
  <c r="B75" i="3"/>
  <c r="F74" i="3"/>
  <c r="E74" i="3"/>
  <c r="D74" i="3"/>
  <c r="C74" i="3"/>
  <c r="B74" i="3"/>
  <c r="H68" i="3"/>
  <c r="G68" i="3"/>
  <c r="F68" i="3"/>
  <c r="E68" i="3"/>
  <c r="G67" i="3"/>
  <c r="F67" i="3"/>
  <c r="E67" i="3"/>
  <c r="C67" i="3"/>
  <c r="G66" i="3"/>
  <c r="F66" i="3"/>
  <c r="E66" i="3"/>
  <c r="E65" i="3"/>
  <c r="C65" i="3"/>
  <c r="B60" i="3"/>
  <c r="D58" i="3"/>
  <c r="L58" i="3" s="1"/>
  <c r="L57" i="3"/>
  <c r="K57" i="3"/>
  <c r="J57" i="3"/>
  <c r="I57" i="3"/>
  <c r="D57" i="3"/>
  <c r="E57" i="3" s="1"/>
  <c r="H57" i="3" s="1"/>
  <c r="F57" i="3" s="1"/>
  <c r="L56" i="3"/>
  <c r="K56" i="3"/>
  <c r="J56" i="3"/>
  <c r="I56" i="3"/>
  <c r="H56" i="3"/>
  <c r="F56" i="3"/>
  <c r="E56" i="3"/>
  <c r="D56" i="3"/>
  <c r="C58" i="3"/>
  <c r="B52" i="3"/>
  <c r="C51" i="3"/>
  <c r="C50" i="3"/>
  <c r="G49" i="3"/>
  <c r="F49" i="3"/>
  <c r="E49" i="3"/>
  <c r="D49" i="3"/>
  <c r="C49" i="3"/>
  <c r="B45" i="3"/>
  <c r="C44" i="3"/>
  <c r="C43" i="3"/>
  <c r="C42" i="3"/>
  <c r="C41" i="3"/>
  <c r="B37" i="3"/>
  <c r="B30" i="3"/>
  <c r="C36" i="3"/>
  <c r="C35" i="3"/>
  <c r="C34" i="3"/>
  <c r="C33" i="3"/>
  <c r="C29" i="3"/>
  <c r="C28" i="3"/>
  <c r="C27" i="3"/>
  <c r="I26" i="3"/>
  <c r="H26" i="3"/>
  <c r="I25" i="3"/>
  <c r="H25" i="3"/>
  <c r="G25" i="3"/>
  <c r="F25" i="3"/>
  <c r="E25" i="3"/>
  <c r="D25" i="3"/>
  <c r="C25" i="3"/>
  <c r="I24" i="3"/>
  <c r="H24" i="3"/>
  <c r="G24" i="3"/>
  <c r="F24" i="3"/>
  <c r="E24" i="3"/>
  <c r="D24" i="3"/>
  <c r="C24" i="3"/>
  <c r="I23" i="3"/>
  <c r="H23" i="3"/>
  <c r="G23" i="3"/>
  <c r="F23" i="3"/>
  <c r="E23" i="3"/>
  <c r="D23" i="3"/>
  <c r="C23" i="3"/>
  <c r="I22" i="3"/>
  <c r="H22" i="3"/>
  <c r="G22" i="3"/>
  <c r="F22" i="3"/>
  <c r="E22" i="3"/>
  <c r="D22" i="3"/>
  <c r="C22" i="3"/>
  <c r="C18" i="3"/>
  <c r="C16" i="3"/>
  <c r="C15" i="3"/>
  <c r="E58" i="3" l="1"/>
  <c r="H58" i="3" s="1"/>
  <c r="F58" i="3" s="1"/>
  <c r="K58" i="3"/>
  <c r="I58" i="3"/>
  <c r="J5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 a p antunes antunes</author>
  </authors>
  <commentList>
    <comment ref="C40" authorId="0" shapeId="0" xr:uid="{04C5B730-817C-4D46-ACD6-8A8FE4E7D11D}">
      <text>
        <r>
          <rPr>
            <b/>
            <sz val="9"/>
            <color indexed="81"/>
            <rFont val="Segoe UI"/>
            <charset val="1"/>
          </rPr>
          <t>jose a p antunes antunes:</t>
        </r>
        <r>
          <rPr>
            <sz val="9"/>
            <color indexed="81"/>
            <rFont val="Segoe UI"/>
            <charset val="1"/>
          </rPr>
          <t xml:space="preserve">
Fonte: Material de Estudo - Módulo 3 / deck Oficial-Modulo-3, slides 5 a 8 (cupom semestral da NTN-F, R$ 48,81).</t>
        </r>
      </text>
    </comment>
  </commentList>
</comments>
</file>

<file path=xl/sharedStrings.xml><?xml version="1.0" encoding="utf-8"?>
<sst xmlns="http://schemas.openxmlformats.org/spreadsheetml/2006/main" count="334" uniqueCount="309">
  <si>
    <t>Simulador 12 · NTN-F contra a curva (PU justo, TIR e DV01)</t>
  </si>
  <si>
    <t>Módulo 3 — Apreçamento das Operações de Tesouraria · seções 1.2, 1.3, 2.1, 2.2, 3.1 e 3.2 (slides 5 a 8, 12 e 13)</t>
  </si>
  <si>
    <t>Apreça a NTN-F do caso condutor contra a curva do módulo — fluxo a fluxo, cada um descontado pela spot do seu próprio prazo —, extrai a TIR do preço, mede duration de Macaulay, duration modificada e DV01, simula o choque de taxa em reais sobre uma posição de R$ 100 milhões de face e diz se um PU de mercado está caro ou barato contra a curva. Tudo com a memória de cálculo aberta: nenhum número é digitado onde poderia ser fórmula.</t>
  </si>
  <si>
    <t>1 · Projetar o fluxo — os quatro pagamentos da NTN-F (três cupons e o cupom + principal no vencimento).</t>
  </si>
  <si>
    <t>2 · Descontar cada fluxo pela spot do SEU prazo:   DF = (1 + i)^(du/252)   →   PV = CF / DF</t>
  </si>
  <si>
    <t>3 · Somar os PVs. O resultado é o PU justo.</t>
  </si>
  <si>
    <t>Muda o fluxo, muda a taxa; a receita nunca muda.</t>
  </si>
  <si>
    <t>Spot do vértice</t>
  </si>
  <si>
    <t>—</t>
  </si>
  <si>
    <t>Base 252 dias úteis pelo calendário ANBIMA. Taxas e cotações truncadas em 4 casas; PU truncado em 6 casas. Truncar é cortar, não arredondar. Cada título tem manual próprio (Tesouro Nacional / ANBIMA): a regra não se deduz, se consulta.</t>
  </si>
  <si>
    <t>O material calcula o DV01 sobre valor de face (R$ 100 milhões), e essa é a convenção default do arquivo. O bloco 6 do Simulador permite alternar para valor de mercado e explica a diferença. As duas bases são usadas no mercado; o que não se admite é trocar de base no meio de uma comparação.</t>
  </si>
  <si>
    <t>Convexidade não entra aqui — é Módulo 4 e já tem simulador próprio (Simulador 8). O bloco 6 mostra apenas o resíduo da reta no choque de 50 bps, para nomear o fenómeno.</t>
  </si>
  <si>
    <t>"A yield resume; a curva precifica. A TIR é output do preço — quem a usa como input aceitou, sem perceber, uma curva flat."</t>
  </si>
  <si>
    <t>E a regra que costura o arquivo: barato ou caro se mede contra a curva, nunca entre yields.</t>
  </si>
  <si>
    <t>Aviso: todos os dados são ilustrativos, com fins didáticos, e reproduzem a curva do Módulo 3. Em aplicação real, use as taxas indicativas ANBIMA, os PUs divulgados pelo Tesouro Nacional e o calendário de dias úteis vigente.</t>
  </si>
  <si>
    <t>Vértice (du)</t>
  </si>
  <si>
    <t>Spot (a.a.)</t>
  </si>
  <si>
    <t>Origem</t>
  </si>
  <si>
    <t>Nota</t>
  </si>
  <si>
    <t>vértice líquido</t>
  </si>
  <si>
    <t>prazo sem vértice líquido — a spot veio de uma decisão de metodologia, não da tela</t>
  </si>
  <si>
    <t>Valor nominal — VN (R$)</t>
  </si>
  <si>
    <t>Cupom (a.a.)</t>
  </si>
  <si>
    <t>Critério do cupom</t>
  </si>
  <si>
    <t>truncar</t>
  </si>
  <si>
    <t>truncar = convenção do arquivo (4 casas na taxa, 2 casas em R$) · arredondar = reproduz o R$ 48,81 da apostila</t>
  </si>
  <si>
    <t>Cupom semestral = (1+cupom)^0,5 − 1</t>
  </si>
  <si>
    <t>Cupom semestral em R$ (CF de cada cupom)</t>
  </si>
  <si>
    <t>Face da posição (R$)</t>
  </si>
  <si>
    <t>Nº de títulos = face / VN</t>
  </si>
  <si>
    <t>calculado — equivalência de taxas do Módulo 1 dentro do título; nunca digitado</t>
  </si>
  <si>
    <t>Fluxo</t>
  </si>
  <si>
    <t>CF (R$)</t>
  </si>
  <si>
    <t>du</t>
  </si>
  <si>
    <t>t = du/252</t>
  </si>
  <si>
    <t>DF = (1+i)^t</t>
  </si>
  <si>
    <t>PV = CF/DF</t>
  </si>
  <si>
    <t>% do PU</t>
  </si>
  <si>
    <t>C1</t>
  </si>
  <si>
    <t>C2</t>
  </si>
  <si>
    <t>C3</t>
  </si>
  <si>
    <t>C4 + principal</t>
  </si>
  <si>
    <t>PU (Σ PV)</t>
  </si>
  <si>
    <t>PU truncado (6 casas)</t>
  </si>
  <si>
    <t>PU de mesa (2 casas)</t>
  </si>
  <si>
    <t>Valor de mercado da posição (R$)</t>
  </si>
  <si>
    <t>Σ PV cheio (sem truncar)</t>
  </si>
  <si>
    <t>Diferença por título (R$)</t>
  </si>
  <si>
    <t>Diferença na posição (R$)</t>
  </si>
  <si>
    <t>Cupom publicado pelo Tesouro (R$)</t>
  </si>
  <si>
    <t>PU com o cupom publicado (mesma curva)</t>
  </si>
  <si>
    <t>PU justo deste arquivo (critério do bloco 2)</t>
  </si>
  <si>
    <t>t0 = −PU</t>
  </si>
  <si>
    <t>t1</t>
  </si>
  <si>
    <t>t2</t>
  </si>
  <si>
    <t>t3</t>
  </si>
  <si>
    <t>t4</t>
  </si>
  <si>
    <t>TIR semestral = TIR(fluxos)</t>
  </si>
  <si>
    <t>TIR anual = (1 + TIR semestral)^2 − 1</t>
  </si>
  <si>
    <t>Título</t>
  </si>
  <si>
    <t>Cupom (R$)</t>
  </si>
  <si>
    <t>PU</t>
  </si>
  <si>
    <t>TIR anual</t>
  </si>
  <si>
    <t>fluxos auxiliares →</t>
  </si>
  <si>
    <t>LTN 504 du</t>
  </si>
  <si>
    <t>NTN-F cupom 6%</t>
  </si>
  <si>
    <t>NTN-F cupom 10% (o caso)</t>
  </si>
  <si>
    <t>Experimento sugerido: spots 11% / 12% / 13% / 14% nos vértices 126 / 252 / 378 / 504 du — as três TIRs vão para 14,0000% (LTN) · 13,9206% (cupom 6%) · 13,8703% (cupom 10%): quanto mais gordo o cupom, mais a TIR se afasta da ponta longa.</t>
  </si>
  <si>
    <t>Convenção de desconto</t>
  </si>
  <si>
    <t>Spot 378 du</t>
  </si>
  <si>
    <t>TIR flat</t>
  </si>
  <si>
    <t>Δ por título (R$)</t>
  </si>
  <si>
    <t>Δ na posição (R$)</t>
  </si>
  <si>
    <t>Curva, com flat-forward (material)</t>
  </si>
  <si>
    <t>TIR flat (convenção do Simulador 8)</t>
  </si>
  <si>
    <t>Flat-forward exato em 378 du (calculado)</t>
  </si>
  <si>
    <t>Interpolação linear em 378 du</t>
  </si>
  <si>
    <t>O PU de mercado se compara com o PU da curva — a linha 1. As outras três são a mesma posição sob outra opinião metodológica. Nenhuma está errada; todas custam dinheiro diferente.</t>
  </si>
  <si>
    <t>PV @ TIR</t>
  </si>
  <si>
    <t>PV · t</t>
  </si>
  <si>
    <t>Σ</t>
  </si>
  <si>
    <t>Duration de Macaulay = Σ PV·t / PU (anos)</t>
  </si>
  <si>
    <t>Duration modificada = Macaulay / (1 + TIR)</t>
  </si>
  <si>
    <t>Base do DV01</t>
  </si>
  <si>
    <t>face — convenção do material</t>
  </si>
  <si>
    <t>Base em R$ (conforme seletor)</t>
  </si>
  <si>
    <t>DV01 sobre face (R$/bp)</t>
  </si>
  <si>
    <t>DV01 sobre valor de mercado (R$/bp)</t>
  </si>
  <si>
    <t>DV01 na base ativa (R$/bp)</t>
  </si>
  <si>
    <t>Choque (bps)</t>
  </si>
  <si>
    <t>Reta, base face (o número do slide 13)</t>
  </si>
  <si>
    <t>Reta, base valor de mercado</t>
  </si>
  <si>
    <t>Reapreçamento exato — curva inteira deslocada pelo choque</t>
  </si>
  <si>
    <t>Reta, base ativa (seletor do bloco)</t>
  </si>
  <si>
    <t>PU da LTN = VN / (1 + i252)^(252/252)</t>
  </si>
  <si>
    <t>Duration modificada = t / (1 + i252)</t>
  </si>
  <si>
    <t>DV01 (base face, R$/bp)</t>
  </si>
  <si>
    <t>Choque (bps) — mesmo do bloco 6</t>
  </si>
  <si>
    <t>Perda estimada pela reta (R$)</t>
  </si>
  <si>
    <t>PU de mercado</t>
  </si>
  <si>
    <t>PU justo pela curva</t>
  </si>
  <si>
    <t>Veredito</t>
  </si>
  <si>
    <t>o critério profissional é PU de mercado × PU justo pela curva. Alinhar TIRs é comparar resumos de fluxos diferentes.</t>
  </si>
  <si>
    <t>Leitura de mesa</t>
  </si>
  <si>
    <t>Vértice</t>
  </si>
  <si>
    <t>dados do gráfico (bloco 8)</t>
  </si>
  <si>
    <t>Sua resposta</t>
  </si>
  <si>
    <t>Gabarito</t>
  </si>
  <si>
    <t>Verificação</t>
  </si>
  <si>
    <t>Prompt utilizado para gerar este simulador</t>
  </si>
  <si>
    <t>Data de geração: 08/09/2026 · arquivo: simulador-ntnf-curva</t>
  </si>
  <si>
    <t># Spec — Simulador 12 · NTN-F contra a curva (PU justo, TIR e DV01)</t>
  </si>
  <si>
    <t>&gt; Prompt para o Claude for Excel. Crie um arquivo `simulador-ntnf-curva.xlsx` seguindo integralmente esta especificação. Ao final, cole o texto completo deste documento na aba "Prompt".</t>
  </si>
  <si>
    <t>## 1. Contexto e objetivo</t>
  </si>
  <si>
    <t>Simulador do Módulo 3 — Apreçamento das Operações de Tesouraria, seções 1.2, 1.3, 2.1, 2.2, 3.1 e 3.2 (slides 5 a 8, 12 e 13). É o simulador próprio do Módulo 3: o cálculo central da aula — apreçar a NTN-F fluxo a fluxo, pela spot de cada vértice — é hoje o único cálculo estruturante do curso sem planilha. O Simulador 8 (Módulo 4) desconta o mesmo título por uma TIR única e o Kit de Cálculo (Módulo 1) parte de uma YTM dada; nenhum dos dois faz a conta do slide 7. Este arquivo fecha a lacuna e é a bancada do Bloco 3 do roteiro de aula (exercício em grupo 1, tarefas A a D).</t>
  </si>
  <si>
    <t>Quatro competências, em ordem:</t>
  </si>
  <si>
    <t>1. Apreçar pela curva: montar os quatro fluxos da NTN-F e descontar cada um pela spot do seu prazo, chegando ao PU = R$ 950,78 do material — e ver que 86% do preço mora no último fluxo;</t>
  </si>
  <si>
    <t>2. Respeitar a convenção: base 252 du, truncamento em 4 casas (taxa e cotação) e 6 casas (PU), com o descarte exibido em reais sobre a posição;</t>
  </si>
  <si>
    <t>3. Ler a TIR como output: extrair a TIR de 13,02% do PU e comparar convenções — curva × TIR flat × interpolação linear —, medindo cada escolha metodológica em reais;</t>
  </si>
  <si>
    <t>4. Traduzir em risco: Macaulay, duration modificada, DV01 e o choque de ±50 bps — a resposta (ii) do comitê — mais o diagnóstico rich/cheap contra um PU de mercado.</t>
  </si>
  <si>
    <t>Mensagem pedagógica central (deve aparecer na Instruções e no fechamento da Simulador):</t>
  </si>
  <si>
    <t>&gt; "A yield resume; a curva precifica. A TIR é output do preço — quem a usa como input aceitou, sem perceber, uma curva flat."</t>
  </si>
  <si>
    <t>Fonte da verdade: a apostila `Material de Estudo - Modulo 3` e o deck `Oficial-Modulo-3`. Todo número default deste arquivo reproduz o material; nenhuma conta pode ser ajustada para "melhorar" o resultado do material.</t>
  </si>
  <si>
    <t>## 2. Estrutura do arquivo (4 abas, nesta ordem)</t>
  </si>
  <si>
    <t>1. Instruções · 2. Simulador · 3. Cenários · 4. Prompt</t>
  </si>
  <si>
    <t>## 3. Convenções visuais</t>
  </si>
  <si>
    <t>Padrão do curso: fundo branco, Arial, títulos #002C4D (negrito), texto #202427, resultados #0C63AA (negrito, 14pt), inputs #DCE9F5 com borda fina e desbloqueados; todo o resto bloqueado (proteção sem senha). Taxas em % com 4 casas; PU em R$ com 6 casas nos blocos de cálculo e 2 casas na leitura de mesa; PVs em R$ com 4 casas; DV01 em R$/bp com separador de milhar; valores de posição em R$ inteiros. Negativos em vermelho.</t>
  </si>
  <si>
    <t>## 4. Aba "Instruções"</t>
  </si>
  <si>
    <t>- O que este simulador faz (1 parágrafo): apreça a NTN-F do caso condutor contra a curva do módulo, extrai a TIR, mede duration e DV01 e diz se um PU de mercado está caro ou barato — tudo com a memória de cálculo aberta.</t>
  </si>
  <si>
    <t>- A receita universal, em três passos (caixa): projetar o fluxo · descontar cada fluxo pela spot do seu prazo (`DF = 1/(1+i)^(du/252)`) · somar. Muda o fluxo, muda a taxa; a receita nunca muda.</t>
  </si>
  <si>
    <t>- As duas taxas que não se confundem, em quadro de duas colunas:</t>
  </si>
  <si>
    <t xml:space="preserve">    | | Spot do vértice | TIR (yield) |</t>
  </si>
  <si>
    <t xml:space="preserve">    | O que é | A taxa de UM prazo, lida na curva | A taxa única que devolve o PU |</t>
  </si>
  <si>
    <t xml:space="preserve">    | Papel na conta | Input — desconta cada fluxo | Output — sai do preço |</t>
  </si>
  <si>
    <t xml:space="preserve">    | Serve para | Apreçar | Cotar |</t>
  </si>
  <si>
    <t xml:space="preserve">    | Não serve para | — | Comparar dois títulos |</t>
  </si>
  <si>
    <t>- Convenções obrigatórias: base 252 dias úteis pelo calendário ANBIMA; taxas e cotações truncadas em 4 casas; PU truncado em 6 casas; truncar é cortar, não arredondar. Cada título tem manual próprio (Tesouro/ANBIMA): a regra não se deduz, se consulta.</t>
  </si>
  <si>
    <t>- ⚠ ARMADILHA DE MESA — a TIR como input. "Descontar todos os fluxos por uma taxa só é assumir que a curva é plana. Ela nunca é. A diferença é pequena por título e material no lote: na curva do módulo, R$ 0,0226 por título vira R$ 2.262 em R$ 100 milhões — e o sinal do erro muda com o formato da curva."</t>
  </si>
  <si>
    <t>- ⚠ ARMADILHA DE MESA — interpolar é opinar. "O fluxo de 378 du cai num buraco da curva. Trocar o flat-forward do Módulo 2 por uma interpolação linear muda o PU em R$ 0,0536 por título — R$ 5.364 na posição. A metodologia da aula passada aparece como centavos aqui, e centavos vezes lote grande é dinheiro."</t>
  </si>
  <si>
    <t>- Nota sobre a base do DV01: o material calcula o DV01 sobre valor de face (R$ 100 milhões), e é essa a convenção default do arquivo (R$ 16.464/bp). O bloco 5.6 permite alternar para valor de mercado (R$ 95.078.171 → R$ 15.654/bp) e explica a diferença. As duas bases são usadas no mercado; o que não se admite é trocar de base no meio de uma comparação.</t>
  </si>
  <si>
    <t>- Nota de escopo: convexidade não entra aqui — é Módulo 4 e já tem simulador próprio (Simulador 8). O bloco 5.6 mostra apenas o resíduo da reta no choque de 50 bps, para nomear o fenômeno.</t>
  </si>
  <si>
    <t>- Aviso: todos os dados são ilustrativos, com fins didáticos, e reproduzem a curva do Módulo 3. Em aplicação real, use as taxas indicativas ANBIMA, os PUs do Tesouro Nacional e o calendário de dias úteis vigente.</t>
  </si>
  <si>
    <t>## 5. Aba "Simulador"</t>
  </si>
  <si>
    <t>### 5.1 Bloco "A curva do módulo" (inputs azuis)</t>
  </si>
  <si>
    <t xml:space="preserve">    | Vértice (du) | Spot (a.a.) | Origem |</t>
  </si>
  <si>
    <t xml:space="preserve">    | 126 | 13,0000% | vértice líquido |</t>
  </si>
  <si>
    <t xml:space="preserve">    | 252 | 13,6000% | vértice líquido |</t>
  </si>
  <si>
    <t xml:space="preserve">    | 378 | 13,2000% | interpolada — flat-forward do Módulo 2 |</t>
  </si>
  <si>
    <t xml:space="preserve">    | 504 | 13,0000% | vértice líquido |</t>
  </si>
  <si>
    <t>Célula de nota ao lado da linha de 378 du: "prazo sem vértice líquido — a spot veio de uma decisão de metodologia, não da tela". Validação: taxas entre 0% e 100%.</t>
  </si>
  <si>
    <t>### 5.2 Bloco "O título" (inputs azuis)</t>
  </si>
  <si>
    <t xml:space="preserve">    | Parâmetro | Default |</t>
  </si>
  <si>
    <t xml:space="preserve">    | Valor nominal — VN (R$) | 1.000,00 |</t>
  </si>
  <si>
    <t xml:space="preserve">    | Cupom (a.a.) | 10,00% |</t>
  </si>
  <si>
    <t xml:space="preserve">    | Cupom semestral = (1+cupom)^0,5 − 1 | 4,8809% → R$ 48,81 |</t>
  </si>
  <si>
    <t xml:space="preserve">    | Face da posição (R$) | 100.000.000 |</t>
  </si>
  <si>
    <t xml:space="preserve">    | Nº de títulos = face / VN | 100.000 |</t>
  </si>
  <si>
    <t>O cupom semestral é calculado, nunca digitado — é a equivalência de taxas do Módulo 1 aparecendo dentro do título.</t>
  </si>
  <si>
    <t>### 5.3 Bloco "O apreçamento fluxo a fluxo" — o núcleo do arquivo</t>
  </si>
  <si>
    <t>Tabela: Fluxo · CF (R$) · du · t = du/252 · Spot do vértice · DF = (1+i)^t · PV = CF/DF.</t>
  </si>
  <si>
    <t>Resultados esperados com os defaults (critério de aceite):</t>
  </si>
  <si>
    <t xml:space="preserve">    | Fluxo | CF | du | Spot | PV | % do PU |</t>
  </si>
  <si>
    <t xml:space="preserve">    | C1 | 48,81 | 126 | 13,0000% | 45,9166 | 4,8% |</t>
  </si>
  <si>
    <t xml:space="preserve">    | C2 | 48,81 | 252 | 13,6000% | 42,9665 | 4,5% |</t>
  </si>
  <si>
    <t xml:space="preserve">    | C3 | 48,81 | 378 | 13,2000% | 40,5265 | 4,3% |</t>
  </si>
  <si>
    <t xml:space="preserve">    | C4 + principal | 1.048,81 | 504 | 13,0000% | 821,3721 | 86,4% |</t>
  </si>
  <si>
    <t xml:space="preserve">    | PU (Σ PV) | | | | 950,781714 | 100% |</t>
  </si>
  <si>
    <t>Abaixo da tabela:</t>
  </si>
  <si>
    <t>- PU truncado em 6 casas = 950,781714 · PU de mesa (2 casas) = R$ 950,78</t>
  </si>
  <si>
    <t>- Valor de mercado da posição = PU/1.000 × face = R$ 95.078.171</t>
  </si>
  <si>
    <t>- Linha de leitura automática: "86,4% do preço está no último fluxo. É por isso que a NTN-F se comporta quase como uma LTN de 504 du — e por isso o cupom encurta a duration só um pouco."</t>
  </si>
  <si>
    <t>- Sub-bloco do truncamento: exibir Σ PV cheio, o PU truncado em 6 casas, a diferença por título e a diferença sobre a posição em reais, com a nota: "o mercado não arredonda: trunca".</t>
  </si>
  <si>
    <t>### 5.4 Bloco "A TIR extraída" (output, nunca input)</t>
  </si>
  <si>
    <t>- TIR semestral = TIR({−PU; 48,81; 48,81; 48,81; 1.048,81}) — os fluxos são equidistantes de 126 du = meio ano em base 252, então a função nativa serve.</t>
  </si>
  <si>
    <t>- TIR anual = (1 + TIR semestral)^2 − 1 → 13,0214% (o 13,02% do slide 8).</t>
  </si>
  <si>
    <t>- Célula de leitura: "a TIR ficou entre as spots porque é uma média ponderada pelos fluxos: o fluxo gordo de 504 du (13,00%) domina e os cupons no meio da curva (13,60%) puxam para cima."</t>
  </si>
  <si>
    <t>- Mini-tabela "três títulos, uma curva" (calculada, não editável) — apreçar, na mesma curva, três títulos com cupons diferentes:</t>
  </si>
  <si>
    <t xml:space="preserve">    | Título | Cupom | PU | TIR |</t>
  </si>
  <si>
    <t xml:space="preserve">    | LTN 504 du | 0% | 783,1467 | 13,0000% |</t>
  </si>
  <si>
    <t xml:space="preserve">    | NTN-F cupom 6% | R$ 29,56 | 884,6687 | 13,0136% |</t>
  </si>
  <si>
    <t xml:space="preserve">    | NTN-F cupom 10% (o caso) | R$ 48,81 | 950,7817 | 13,0214% |</t>
  </si>
  <si>
    <t>Leitura automática: "três TIRs diferentes, uma única curva, nenhum título mais barato que o outro. A dispersão é pequena aqui porque esta curva é quase plana entre 13,00% e 13,60% — troque a curva no bloco 5.1 por uma inclinada e veja a dispersão abrir." Sugestão registrada na própria célula: com spots 11 / 12 / 13 / 14%, as três TIRs vão para 13,8749% · 13,9206% · 14,0000%.</t>
  </si>
  <si>
    <t>### 5.5 Bloco "Comparador de convenções" — o bloco que justifica o arquivo</t>
  </si>
  <si>
    <t>Quatro linhas calculadas em paralelo, todas sobre os mesmos fluxos:</t>
  </si>
  <si>
    <t xml:space="preserve">    | Convenção de desconto | PU | Δ por título | Δ na posição (100.000 títulos) |</t>
  </si>
  <si>
    <t xml:space="preserve">    | Curva, com flat-forward (material) | 950,7817 | — | — |</t>
  </si>
  <si>
    <t xml:space="preserve">    | TIR flat de 13,02% (Simulador 8) | 950,8043 | +0,0226 | +R$ 2.262 |</t>
  </si>
  <si>
    <t xml:space="preserve">    | Flat-forward exato em 378 du (13,2192%) | 950,7714 | −0,0103 | −R$ 1.030 |</t>
  </si>
  <si>
    <t xml:space="preserve">    | Interpolação linear em 378 du (13,3000%) | 950,7281 | −0,0536 | −R$ 5.364 |</t>
  </si>
  <si>
    <t>Input azul: a spot alternativa de 378 du (default 13,3000%) e a TIR flat alternativa (default 13,0200%), para a turma experimentar.</t>
  </si>
  <si>
    <t>Leitura automática obrigatória: "O PU de mercado se compara com o PU da curva — a linha 1. As outras três são a mesma posição sob outra opinião metodológica. Nenhuma está errada; todas custam dinheiro diferente."</t>
  </si>
  <si>
    <t>### 5.6 Bloco "Sensibilidade: duration, DV01 e o choque"</t>
  </si>
  <si>
    <t>Calculados a partir da TIR do bloco 5.4:</t>
  </si>
  <si>
    <t xml:space="preserve">    | Medida | Valor |</t>
  </si>
  <si>
    <t xml:space="preserve">    | Duration de Macaulay = Σ PV·t / PU | 1,8608 anos |</t>
  </si>
  <si>
    <t xml:space="preserve">    | Duration modificada = Macaulay/(1+TIR) | 1,6464 |</t>
  </si>
  <si>
    <t xml:space="preserve">    | DV01 sobre face (convenção do material) | R$ 16.464/bp |</t>
  </si>
  <si>
    <t xml:space="preserve">    | DV01 sobre valor de mercado | R$ 15.654/bp |</t>
  </si>
  <si>
    <t>Input azul: base do DV01 (lista: "face — convenção do material" / "valor de mercado"), default face. Input azul: choque (bps), default +50.</t>
  </si>
  <si>
    <t>Cascata do choque de +50 bps, três linhas visíveis:</t>
  </si>
  <si>
    <t xml:space="preserve">    | Estimativa | Valor |</t>
  </si>
  <si>
    <t xml:space="preserve">    | Reta, base face (o número do slide 13) | −R$ 823.199 |</t>
  </si>
  <si>
    <t xml:space="preserve">    | Reta, base valor de mercado | −R$ 782.700 |</t>
  </si>
  <si>
    <t xml:space="preserve">    | Reapreçamento exato — curva inteira +50 bps | −R$ 777.738 |</t>
  </si>
  <si>
    <t>Nota de conciliação obrigatória (célula de texto, tom informativo, sem contradizer o material): "Dos R$ 45,5 mil entre o número do slide e o reapreçamento exato, R$ 40,5 mil vêm da base (face × valor de mercado) e R$ 5,0 mil da curvatura — a convexidade, que é Módulo 4. Reportar o DV01 sobre a face é conservador: superestima a dor."</t>
  </si>
  <si>
    <t>Linha de comparação com a LTN, para fechar a mensagem do slide 13: LTN de 252 du a 13,60% → PU 880,281690, MD 0,8803, DV01 R$ 8.803/bp, choque +50 bps = −R$ 440.141. Leitura: "mesmos R$ 100 milhões, dores completamente diferentes."</t>
  </si>
  <si>
    <t>### 5.7 Bloco "Caro ou barato? (rich/cheap contra a curva)"</t>
  </si>
  <si>
    <t>Input azul: PU de mercado (default 948,10). Calculados: diferença por título, diferença sobre a posição, e um veredito automático por fórmula (RICH — caro contra a curva / CHEAP — barato contra a curva / no justo), com tolerância de R$ 0,01 por título.</t>
  </si>
  <si>
    <t>Gabaritos de referência (os três PUs que o professor distribui no Bloco 3 do roteiro):</t>
  </si>
  <si>
    <t xml:space="preserve">    | PU de mercado | Veredito | Diferença na posição |</t>
  </si>
  <si>
    <t xml:space="preserve">    | 948,10 | CHEAP | −R$ 268.171 (compra) |</t>
  </si>
  <si>
    <t xml:space="preserve">    | 950,78 | no justo | ≈ R$ 0 |</t>
  </si>
  <si>
    <t xml:space="preserve">    | 953,40 | RICH | +R$ 261.829 (venda) |</t>
  </si>
  <si>
    <t>Célula de leitura: "o critério profissional é PU de mercado × PU justo pela curva. Alinhar TIRs é comparar resumos de fluxos diferentes."</t>
  </si>
  <si>
    <t>### 5.8 Gráfico</t>
  </si>
  <si>
    <t>Barras horizontais dos quatro PVs (#0C63AA), eixo Y = vértice (126 / 252 / 378 / 504 du), rótulo de dados em % do PU. Título: "Onde mora o preço: 86% do PU está no último fluxo". Sem segundo gráfico — a convexidade, que pediria a curva preço × taxa, é escopo do Simulador 8.</t>
  </si>
  <si>
    <t>## 6. Aba "Cenários"</t>
  </si>
  <si>
    <t>Verificação automática padrão do curso: responder nas células azuis, gabaritos calculados por fórmula a partir da aba Simulador, colunas Cenário · Pergunta · Sua resposta · Gabarito · Verificação · Comentário. Tolerâncias: R$ 0,01 para PU, 0,01 p.p. para taxas, R$ 500 para valores de posição, R$ 100/bp para DV01.</t>
  </si>
  <si>
    <t>- Cenário A · o PU justo. Com a curva e o título default, qual o PU da NTN-F e quanto vale a posição de R$ 100 mi de face? (R$ 950,78 e R$ 95.078.171)</t>
  </si>
  <si>
    <t>- Cenário B · a TIR é output. Qual a TIR do papel? E ela é input ou output do apreçamento? (13,0214%; lista de 3 opções — a correta: "output; usá-la como input equivale a assumir curva plana")</t>
  </si>
  <si>
    <t>- Cenário C · interpolar é opinar. Troque a spot de 378 du de 13,20% para 13,30% (interpolação linear). Qual o novo PU e quanto isso custa na posição? (950,7281 e −R$ 5.364)</t>
  </si>
  <si>
    <t>- Cenário D · caro ou barato. O mercado negocia a 948,10. O papel está rich ou cheap, e por quantos reais em R$ 100 mi? (cheap; R$ 268.171)</t>
  </si>
  <si>
    <t>- Cenário E · a dor em reais. Qual o DV01 (base face) e qual a perda estimada em +50 bps? (R$ 16.464/bp e −R$ 823.199) — e a pergunta complementar: qual o DV01 da LTN de 252 du sobre os mesmos R$ 100 mi? (R$ 8.803/bp)</t>
  </si>
  <si>
    <t>- Cenário F · caça ao erro. Um colega apreçou a NTN-F descontando os quatro fluxos a 13,02% e disse que o papel "vale R$ 950,80". Qual o erro conceitual e quanto ele vale na posição? (usou a TIR como input — curva plana; +R$ 2.262)</t>
  </si>
  <si>
    <t>- Cenário G · conceito (texto livre, resposta-modelo agrupada). "Duas NTN-F de mesmo vencimento e cupons diferentes têm TIRs diferentes. Uma está mais barata que a outra?" Resposta-modelo: não — a TIR é um resumo da curva ponderado pelos fluxos daquele título; mude o cupom e a TIR muda sobre a mesma curva (13,0000% / 13,0136% / 13,0214% na tabela do bloco 5.4). Barato/caro só se mede contra a curva.</t>
  </si>
  <si>
    <t>## 7. Aba "Prompt"</t>
  </si>
  <si>
    <t>Colar o texto integral desta especificação, com o título "Prompt utilizado para gerar este simulador" e a data de geração.</t>
  </si>
  <si>
    <t>## 8. Critérios de aceite</t>
  </si>
  <si>
    <t>- O bloco 5.3 reproduz exatamente os quatro PVs (45,9166 · 42,9665 · 40,5265 · 821,3721) e o PU = 950,781714, que arredondado é o R$ 950,78 do slide 7. Se o PU sair diferente na quarta casa, a base 252 ou o cupom semestral está errado.</t>
  </si>
  <si>
    <t>- A TIR extraída é 13,0214% e é calculada a partir do PU, nunca digitada.</t>
  </si>
  <si>
    <t>- A tabela do bloco 5.4 devolve 13,0000% · 13,0136% · 13,0214% para cupons 0% · 6% · 10% na mesma curva.</t>
  </si>
  <si>
    <t>- O comparador 5.5 devolve as quatro linhas com os deltas +R$ 2.262 · −R$ 1.030 · −R$ 5.364 sobre a posição.</t>
  </si>
  <si>
    <t>- Macaulay 1,8608 e MD 1,6464; DV01 R$ 16.464/bp na base face e R$ 15.654/bp na base mercado; o seletor de base muda os três números do bloco do choque.</t>
  </si>
  <si>
    <t>- A cascata do choque devolve −823.199 · −782.700 · −777.738 e a nota de conciliação decompõe a diferença em base (R$ 40,5 mil) e curvatura (R$ 5,0 mil).</t>
  </si>
  <si>
    <t>- O veredito rich/cheap acerta os três PUs de referência, com os valores em reais.</t>
  </si>
  <si>
    <t>- Gráfico de barras com o rótulo de 86,4% no fluxo de 504 du.</t>
  </si>
  <si>
    <t>- Apenas células azuis editáveis; demais bloqueadas sem senha; aba Prompt com a spec na íntegra.</t>
  </si>
  <si>
    <t>- Nenhum número inventado: curva, cupom, PU, TIR, duration e DV01 vêm da apostila do Módulo 3 e dos slides 5 a 8, 12 e 13.</t>
  </si>
  <si>
    <t>—————————————————————————————</t>
  </si>
  <si>
    <t>DECISÕES DE IMPLEMENTAÇÃO (registradas em 08/09/2026, após grill com o usuário)</t>
  </si>
  <si>
    <t>1. Critério do cupom — o usuário optou por truncar de verdade. (1,10)^0,5−1 = 4,88088%; truncado em 4 casas = 4,8808% → CF = R$ 48,80 (e não os R$ 48,81 publicados, que exigem arredondamento). Com isso o PU justo default é 950,747369 (mesa R$ 950,75), e não os 950,781714 da apostila. O bloco 2 traz um seletor 'critério do cupom' (truncar / arredondar) e o bloco 3c mede a diferença: R$ 3.435 na posição de R$ 100 mi. Todos os gabaritos são fórmulas e acompanham o seletor.</t>
  </si>
  <si>
    <t>2. Flat-forward exato em 378 du — o usuário optou por calcular por fórmula em vez de fixar os 13,2192% da spec. O flat-forward entre 252 du (13,60%) e 504 du (13,00%) é 13,1996%, que é praticamente o próprio 13,20% do material; o Δ na posição é +R$ 19, e não os −R$ 1.030 da spec. Os 13,2192% da spec não decorrem de interpolação flat-forward entre esses dois vértices.</t>
  </si>
  <si>
    <t>3. Deltas do comparador 5.5 sob truncamento: TIR flat 13,02% → +R$ 2.255; flat-forward calculado → +R$ 19; interpolação linear 13,30% → −R$ 5.363.</t>
  </si>
  <si>
    <t>4. Cascata do choque sob truncamento: reta base face −R$ 823.209; reta base mercado −R$ 782.664; reapreçamento exato −R$ 777.720. Conciliação: R$ 40.545 de base e R$ 4.944 de curvatura.</t>
  </si>
  <si>
    <t>5. Rich/cheap sob truncamento: 948,10 → CHEAP, −R$ 264.737; 950,75 (o PU justo arredondado) → no justo; 953,40 → RICH, +R$ 265.263.</t>
  </si>
  <si>
    <t>6. Cenário G ficou com resposta-modelo revelada por fórmula, sem verificação automática.</t>
  </si>
  <si>
    <t>7. O arquivo foi construído na pasta de trabalho aberta (não é possível gerar .xlsx para download a partir do add-in); salve-a como simulador-ntnf-curva.xlsx.</t>
  </si>
  <si>
    <t>interpolada (flat-forward · M2)</t>
  </si>
  <si>
    <t>Fluxos para a TIR (equidistantes de 126 du)</t>
  </si>
  <si>
    <t>1 · A CURVA DO MÓDULO</t>
  </si>
  <si>
    <t>2 · O TÍTULO</t>
  </si>
  <si>
    <t>3 · O APREÇAMENTO FLUXO A FLUXO</t>
  </si>
  <si>
    <t>3B · O QUE O TRUNCAMENTO DESCARTA</t>
  </si>
  <si>
    <t>3C · CONCILIAÇÃO COM O CUPOM PUBLICADO PELO TESOURO</t>
  </si>
  <si>
    <t>4 · A TIR EXTRAÍDA (OUTPUT, NUNCA INPUT)</t>
  </si>
  <si>
    <t>4B · TRÊS TÍTULOS, UMA CURVA</t>
  </si>
  <si>
    <t>5 · COMPARADOR DE CONVENÇÕES</t>
  </si>
  <si>
    <t>6 · SENSIBILIDADE: DURATION, DV01 E O CHOQUE</t>
  </si>
  <si>
    <t>CASCATA DO CHOQUE</t>
  </si>
  <si>
    <t>6B · A MESMA POSIÇÃO EM LTN DE 252 DU</t>
  </si>
  <si>
    <t>7 · CARO OU BARATO? (RICH/CHEAP CONTRA A CURVA)</t>
  </si>
  <si>
    <t>GABARITOS DE REFERÊNCIA (OS TRÊS PUS DO BLOCO 3 DO ROTEIRO)</t>
  </si>
  <si>
    <t>AS DUAS TAXAS QUE NÃO SE CONFUNDEM</t>
  </si>
  <si>
    <t>SPOT DO VÉRTICE — é a taxa de UM prazo, lida na curva. Papel na conta: INPUT, desconta cada fluxo. Serve para apreçar.</t>
  </si>
  <si>
    <t>TIR (YIELD) — é a taxa única que devolve o PU. Papel na conta: OUTPUT, sai do preço. Serve para cotar — e NÃO serve para comparar dois títulos.</t>
  </si>
  <si>
    <t>O QUE ESTE SIMULADOR FAZ</t>
  </si>
  <si>
    <t>A RECEITA UNIVERSAL, EM TRÊS PASSOS</t>
  </si>
  <si>
    <t>CONVENÇÕES OBRIGATÓRIAS</t>
  </si>
  <si>
    <t>⚠ ARMADILHA DE MESA — A TIR COMO INPUT</t>
  </si>
  <si>
    <t>⚠ ARMADILHA DE MESA — INTERPOLAR É OPINAR</t>
  </si>
  <si>
    <t>NOTA SOBRE A BASE DO DV01</t>
  </si>
  <si>
    <t>NOTA DE ESCOPO</t>
  </si>
  <si>
    <t>NOTA SOBRE O CRITÉRIO DO CUPOM</t>
  </si>
  <si>
    <t>Cenários · Simulador 12 — NTN-F contra a curva</t>
  </si>
  <si>
    <t>Responda nas células azuis. O gabarito é calculado por fórmula a partir da aba Simulador — se você mudar a curva, o título ou o critério do cupom lá, os gabaritos acompanham. Tolerâncias embutidas na verificação: R$ 0,01 no PU, 0,01 p.p. em taxas, R$ 500 em valores de posição e R$ 100/bp no DV01.</t>
  </si>
  <si>
    <t>Cenário / pergunta</t>
  </si>
  <si>
    <t>Leitura obrigatória / resposta-modelo</t>
  </si>
  <si>
    <t>CENÁRIO A · O PU JUSTO — com a curva e o título default, apreçe a NTN-F fluxo a fluxo e traduza em posição.</t>
  </si>
  <si>
    <t>A1. PU da NTN-F (leitura de mesa, 2 casas)</t>
  </si>
  <si>
    <t>Σ dos quatro PVs, cada fluxo descontado pela spot do seu próprio prazo. 86,4% do preço está no último fluxo — a NTN-F se comporta quase como uma LTN de 504 du.</t>
  </si>
  <si>
    <t>A2. Valor da posição de R$ 100 mi de face (R$)</t>
  </si>
  <si>
    <t>CENÁRIO B · A TIR É OUTPUT — extraia a taxa única que devolve o PU e diga que papel ela cumpre na conta.</t>
  </si>
  <si>
    <t>B1. TIR anual do papel (%)</t>
  </si>
  <si>
    <t>A TIR fica entre as spots porque é média ponderada pelos fluxos. Leitura obrigatória: ela é OUTPUT — usá-la como input equivale a assumir curva plana, e isso custa R$ 2.255 na posição (bloco 5).</t>
  </si>
  <si>
    <t>B2. A TIR é input ou output do apreçamento? (escreva input ou output)</t>
  </si>
  <si>
    <t>output</t>
  </si>
  <si>
    <t>CENÁRIO C · INTERPOLAR É OPINAR — troque a spot de 378 du de 13,20% (flat-forward) para 13,30% (interpolação linear) no bloco 5 do Simulador.</t>
  </si>
  <si>
    <t>C1. Novo PU (6 casas)</t>
  </si>
  <si>
    <t>A metodologia da aula passada reaparece aqui como centavos — e centavos vezes lote grande é dinheiro. O sinal negativo diz que a interpolação linear, nesta curva, apreça mais barato.</t>
  </si>
  <si>
    <t>C2. Quanto isso custa na posição (R$)</t>
  </si>
  <si>
    <t>CENÁRIO D · CARO OU BARATO — o mercado negocia a 948,10. Diagnostique contra a curva, não contra outra yield.</t>
  </si>
  <si>
    <t>D1. O papel está rich, cheap ou justo? (escreva rich, cheap ou justo)</t>
  </si>
  <si>
    <t>O critério profissional é PU de mercado × PU justo pela curva. Alinhar TIRs é comparar resumos de fluxos diferentes — barato ou caro se mede contra a curva, nunca entre yields.</t>
  </si>
  <si>
    <t>D2. Diferença na posição, em módulo (R$)</t>
  </si>
  <si>
    <t>CENÁRIO E · A DOR EM REAIS — traduza duration em reais por bp e simule o choque de +50 bps sobre R$ 100 mi de face.</t>
  </si>
  <si>
    <t>E1. DV01 na base face (R$/bp)</t>
  </si>
  <si>
    <t>MD × face × 0,0001. A reta na base face é conservadora: superestima a dor. O reapreçamento exato da curva dá −R$ 777.720, e a diferença se decompõe em base (R$ 40.545) e curvatura (R$ 4.944).</t>
  </si>
  <si>
    <t>E2. Perda estimada pela reta em +50 bps (R$)</t>
  </si>
  <si>
    <t>E3. DV01 da LTN de 252 du sobre os mesmos R$ 100 mi (R$/bp)</t>
  </si>
  <si>
    <t>CENÁRIO F · CAÇA AO ERRO — um colega descontou os quatro fluxos a 13,02% e disse que o papel "vale R$ 950,80".</t>
  </si>
  <si>
    <t>F1. Ele usou a TIR como input ou como output? (escreva input ou output)</t>
  </si>
  <si>
    <t>input</t>
  </si>
  <si>
    <t>O número dele não está "quase certo": está sob outra premissa de curva. Descontar tudo por uma taxa só é assumir curva plana — e o sinal do erro muda com o formato da curva.</t>
  </si>
  <si>
    <t>F2. Quanto vale o erro na posição (R$)</t>
  </si>
  <si>
    <t>CENÁRIO G · CONCEITO — duas NTN-F de mesmo vencimento e cupons diferentes têm TIRs diferentes. Uma está mais barata que a outra?</t>
  </si>
  <si>
    <t>G1. Escreva sua resposta (uma ou duas frases)</t>
  </si>
  <si>
    <t>— (qualitativo)</t>
  </si>
  <si>
    <t>Resposta-modelo: não. A TIR é um resumo da curva ponderado pelos fluxos DAQUELE título; mude o cupom e a TIR muda sobre a mesma curva (13,0000% · 13,0136% · 13,0214% no bloco 4b do Simulador, para cupons 0% · 6% · 10%). Barato ou caro só se mede contra a curva: PU de mercado × PU justo.</t>
  </si>
  <si>
    <t>8. Padrão de forma alinhado ao arquivo de referência simulador-imunizacao.xlsx: corpo Arial 11pt, título de aba 18pt negrito #002C4D, títulos de bloco 12pt negrito em CAIXA ALTA, zero bordas em toda a pasta, inputs #DCE9F5 centralizados sem borda, resultados 11pt negrito #0C63AA, leituras em itálico #0C63AA, caixas de destaque #F2F7FC, zeros exibidos como "-" e deltas com sinal explícito, nenhuma célula mesclada, nenhum painel congelado. A aba Cenários foi reconstruída no layout do padrão: B pergunta · C sua resposta · D gabarito · E verificação (✔ correto / ✖ revise, tolerância dentro da fórmula) · F leitura obrigatória / resposta-modelo, com respostas textuais conferidas por LOWER(TRIM()) e a conceitual por LEN(TRIM()) em vez de listas suspensas.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</si>
</sst>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%"/>
    <numFmt numFmtId="165" formatCode="0.0000"/>
    <numFmt numFmtId="166" formatCode="0.000000"/>
    <numFmt numFmtId="167" formatCode="#,##0.0000"/>
    <numFmt numFmtId="168" formatCode="0.0%"/>
    <numFmt numFmtId="169" formatCode="#,##0.000000"/>
    <numFmt numFmtId="176" formatCode="&quot;R$&quot;\ #,##0;\(&quot;R$&quot;\ #,##0\);\-"/>
    <numFmt numFmtId="177" formatCode="&quot;R$&quot;\ #,##0.00;\(&quot;R$&quot;\ #,##0.00\);\-"/>
    <numFmt numFmtId="178" formatCode="\+0.0000;\-0.0000;\-"/>
    <numFmt numFmtId="179" formatCode="\+0.000000;\-0.000000;\-"/>
  </numFmts>
  <fonts count="18" x14ac:knownFonts="1">
    <font>
      <sz val="11"/>
      <color theme="1"/>
      <name val="Aptos Narrow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theme="1"/>
      <name val="Arial"/>
    </font>
    <font>
      <sz val="10"/>
      <color rgb="FF202427"/>
      <name val="Arial"/>
    </font>
    <font>
      <sz val="11"/>
      <color rgb="FF202427"/>
      <name val="Arial"/>
    </font>
    <font>
      <b/>
      <sz val="11"/>
      <color rgb="FF002C4D"/>
      <name val="Arial"/>
    </font>
    <font>
      <i/>
      <sz val="11"/>
      <color rgb="FF202427"/>
      <name val="Arial"/>
    </font>
    <font>
      <b/>
      <sz val="11"/>
      <color rgb="FF0C63AA"/>
      <name val="Arial"/>
    </font>
    <font>
      <i/>
      <sz val="11"/>
      <color rgb="FF002C4D"/>
      <name val="Arial"/>
    </font>
    <font>
      <sz val="11"/>
      <color rgb="FF7A7A7A"/>
      <name val="Arial"/>
    </font>
    <font>
      <b/>
      <sz val="18"/>
      <color rgb="FF002C4D"/>
      <name val="Arial"/>
    </font>
    <font>
      <b/>
      <sz val="12"/>
      <color rgb="FF002C4D"/>
      <name val="Arial"/>
    </font>
    <font>
      <sz val="11"/>
      <color rgb="FF0C63AA"/>
      <name val="Arial"/>
    </font>
    <font>
      <i/>
      <sz val="11"/>
      <color rgb="FF0C63AA"/>
      <name val="Arial"/>
    </font>
    <font>
      <sz val="11"/>
      <color rgb="FF002C4D"/>
      <name val="Arial"/>
    </font>
    <font>
      <b/>
      <i/>
      <sz val="11"/>
      <color rgb="FF002C4D"/>
      <name val="Arial"/>
    </font>
    <font>
      <sz val="11"/>
      <color rgb="FF202427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CE9F5"/>
        <bgColor indexed="64"/>
      </patternFill>
    </fill>
    <fill>
      <patternFill patternType="solid">
        <fgColor rgb="FFF2F7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 applyProtection="1"/>
    <xf numFmtId="0" fontId="0" fillId="0" borderId="0" xfId="0" applyProtection="1"/>
    <xf numFmtId="0" fontId="5" fillId="0" borderId="0" xfId="0" applyFont="1" applyBorder="1" applyProtection="1"/>
    <xf numFmtId="0" fontId="6" fillId="0" borderId="0" xfId="0" applyFont="1" applyBorder="1" applyProtection="1"/>
    <xf numFmtId="0" fontId="3" fillId="0" borderId="0" xfId="0" applyFont="1" applyBorder="1" applyProtection="1"/>
    <xf numFmtId="0" fontId="7" fillId="0" borderId="0" xfId="0" applyFont="1" applyBorder="1" applyProtection="1"/>
    <xf numFmtId="164" fontId="5" fillId="0" borderId="0" xfId="0" applyNumberFormat="1" applyFont="1" applyBorder="1" applyProtection="1"/>
    <xf numFmtId="4" fontId="5" fillId="0" borderId="0" xfId="0" applyNumberFormat="1" applyFont="1" applyBorder="1" applyProtection="1"/>
    <xf numFmtId="165" fontId="5" fillId="0" borderId="0" xfId="0" applyNumberFormat="1" applyFont="1" applyBorder="1" applyProtection="1"/>
    <xf numFmtId="166" fontId="5" fillId="0" borderId="0" xfId="0" applyNumberFormat="1" applyFont="1" applyBorder="1" applyProtection="1"/>
    <xf numFmtId="167" fontId="5" fillId="0" borderId="0" xfId="0" applyNumberFormat="1" applyFont="1" applyBorder="1" applyProtection="1"/>
    <xf numFmtId="168" fontId="5" fillId="0" borderId="0" xfId="0" applyNumberFormat="1" applyFont="1" applyBorder="1" applyProtection="1"/>
    <xf numFmtId="169" fontId="8" fillId="0" borderId="0" xfId="0" applyNumberFormat="1" applyFont="1" applyBorder="1" applyProtection="1"/>
    <xf numFmtId="4" fontId="8" fillId="0" borderId="0" xfId="0" applyNumberFormat="1" applyFont="1" applyBorder="1" applyProtection="1"/>
    <xf numFmtId="169" fontId="5" fillId="0" borderId="0" xfId="0" applyNumberFormat="1" applyFont="1" applyBorder="1" applyProtection="1"/>
    <xf numFmtId="164" fontId="8" fillId="0" borderId="0" xfId="0" applyNumberFormat="1" applyFont="1" applyBorder="1" applyProtection="1"/>
    <xf numFmtId="0" fontId="10" fillId="0" borderId="0" xfId="0" applyFont="1" applyBorder="1" applyProtection="1"/>
    <xf numFmtId="10" fontId="5" fillId="0" borderId="0" xfId="0" applyNumberFormat="1" applyFont="1" applyBorder="1" applyProtection="1"/>
    <xf numFmtId="4" fontId="10" fillId="0" borderId="0" xfId="0" applyNumberFormat="1" applyFont="1" applyBorder="1" applyProtection="1"/>
    <xf numFmtId="165" fontId="8" fillId="0" borderId="0" xfId="0" applyNumberFormat="1" applyFont="1" applyBorder="1" applyProtection="1"/>
    <xf numFmtId="1" fontId="5" fillId="0" borderId="0" xfId="0" applyNumberFormat="1" applyFont="1" applyBorder="1" applyProtection="1"/>
    <xf numFmtId="0" fontId="8" fillId="0" borderId="0" xfId="0" applyFont="1" applyBorder="1" applyProtection="1"/>
    <xf numFmtId="0" fontId="5" fillId="0" borderId="0" xfId="0" applyFont="1" applyAlignment="1" applyProtection="1">
      <alignment vertical="top"/>
    </xf>
    <xf numFmtId="0" fontId="6" fillId="0" borderId="0" xfId="0" applyFont="1" applyAlignment="1" applyProtection="1">
      <alignment vertical="top"/>
    </xf>
    <xf numFmtId="0" fontId="5" fillId="0" borderId="0" xfId="0" applyFont="1" applyAlignment="1" applyProtection="1">
      <alignment vertical="top" wrapText="1"/>
    </xf>
    <xf numFmtId="0" fontId="8" fillId="0" borderId="0" xfId="0" applyFont="1" applyAlignment="1" applyProtection="1">
      <alignment vertical="top"/>
    </xf>
    <xf numFmtId="0" fontId="7" fillId="0" borderId="0" xfId="0" applyFont="1" applyAlignment="1" applyProtection="1">
      <alignment vertical="top" wrapText="1"/>
    </xf>
    <xf numFmtId="0" fontId="5" fillId="0" borderId="0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vertical="top" wrapText="1"/>
    </xf>
    <xf numFmtId="0" fontId="6" fillId="0" borderId="0" xfId="0" applyFont="1" applyAlignment="1" applyProtection="1">
      <alignment vertical="top" wrapText="1"/>
    </xf>
    <xf numFmtId="0" fontId="11" fillId="0" borderId="0" xfId="0" applyFont="1" applyBorder="1" applyProtection="1"/>
    <xf numFmtId="0" fontId="11" fillId="0" borderId="0" xfId="0" applyFont="1" applyBorder="1" applyAlignment="1" applyProtection="1">
      <alignment vertical="top" wrapText="1"/>
    </xf>
    <xf numFmtId="0" fontId="12" fillId="0" borderId="0" xfId="0" applyFont="1" applyBorder="1" applyProtection="1"/>
    <xf numFmtId="164" fontId="5" fillId="2" borderId="0" xfId="0" applyNumberFormat="1" applyFont="1" applyFill="1" applyBorder="1" applyAlignment="1" applyProtection="1">
      <alignment horizontal="center"/>
      <protection locked="0"/>
    </xf>
    <xf numFmtId="4" fontId="5" fillId="2" borderId="0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locked="0"/>
    </xf>
    <xf numFmtId="3" fontId="5" fillId="2" borderId="0" xfId="0" applyNumberFormat="1" applyFont="1" applyFill="1" applyBorder="1" applyAlignment="1" applyProtection="1">
      <alignment horizontal="center"/>
      <protection locked="0"/>
    </xf>
    <xf numFmtId="1" fontId="5" fillId="2" borderId="0" xfId="0" applyNumberFormat="1" applyFont="1" applyFill="1" applyBorder="1" applyAlignment="1" applyProtection="1">
      <alignment horizontal="center"/>
      <protection locked="0"/>
    </xf>
    <xf numFmtId="164" fontId="13" fillId="0" borderId="0" xfId="0" applyNumberFormat="1" applyFont="1" applyBorder="1" applyProtection="1"/>
    <xf numFmtId="169" fontId="13" fillId="0" borderId="0" xfId="0" applyNumberFormat="1" applyFont="1" applyBorder="1" applyProtection="1"/>
    <xf numFmtId="165" fontId="13" fillId="0" borderId="0" xfId="0" applyNumberFormat="1" applyFont="1" applyBorder="1" applyProtection="1"/>
    <xf numFmtId="3" fontId="13" fillId="0" borderId="0" xfId="0" applyNumberFormat="1" applyFont="1" applyBorder="1" applyProtection="1"/>
    <xf numFmtId="4" fontId="13" fillId="0" borderId="0" xfId="0" applyNumberFormat="1" applyFont="1" applyBorder="1" applyProtection="1"/>
    <xf numFmtId="0" fontId="14" fillId="0" borderId="0" xfId="0" applyFont="1" applyBorder="1" applyProtection="1"/>
    <xf numFmtId="176" fontId="8" fillId="0" borderId="0" xfId="0" applyNumberFormat="1" applyFont="1" applyBorder="1" applyProtection="1"/>
    <xf numFmtId="176" fontId="13" fillId="0" borderId="0" xfId="0" applyNumberFormat="1" applyFont="1" applyBorder="1" applyProtection="1"/>
    <xf numFmtId="176" fontId="5" fillId="0" borderId="0" xfId="0" applyNumberFormat="1" applyFont="1" applyBorder="1" applyProtection="1"/>
    <xf numFmtId="177" fontId="13" fillId="0" borderId="0" xfId="0" applyNumberFormat="1" applyFont="1" applyBorder="1" applyProtection="1"/>
    <xf numFmtId="178" fontId="5" fillId="0" borderId="0" xfId="0" applyNumberFormat="1" applyFont="1" applyBorder="1" applyProtection="1"/>
    <xf numFmtId="179" fontId="5" fillId="0" borderId="0" xfId="0" applyNumberFormat="1" applyFont="1" applyBorder="1" applyProtection="1"/>
    <xf numFmtId="179" fontId="13" fillId="0" borderId="0" xfId="0" applyNumberFormat="1" applyFont="1" applyBorder="1" applyProtection="1"/>
    <xf numFmtId="0" fontId="5" fillId="2" borderId="0" xfId="0" applyFont="1" applyFill="1" applyBorder="1" applyProtection="1"/>
    <xf numFmtId="0" fontId="12" fillId="0" borderId="0" xfId="0" applyFont="1" applyFill="1" applyBorder="1" applyAlignment="1" applyProtection="1">
      <alignment vertical="top" wrapText="1"/>
    </xf>
    <xf numFmtId="0" fontId="9" fillId="3" borderId="0" xfId="0" applyFont="1" applyFill="1" applyBorder="1" applyAlignment="1" applyProtection="1">
      <alignment vertical="top" wrapText="1"/>
    </xf>
    <xf numFmtId="0" fontId="12" fillId="3" borderId="0" xfId="0" applyFont="1" applyFill="1" applyBorder="1" applyAlignment="1" applyProtection="1">
      <alignment vertical="top" wrapText="1"/>
    </xf>
    <xf numFmtId="0" fontId="15" fillId="3" borderId="0" xfId="0" applyFont="1" applyFill="1" applyBorder="1" applyAlignment="1" applyProtection="1">
      <alignment vertical="top" wrapText="1"/>
    </xf>
    <xf numFmtId="0" fontId="16" fillId="0" borderId="0" xfId="0" applyFont="1" applyBorder="1" applyAlignment="1" applyProtection="1">
      <alignment vertical="top" wrapText="1"/>
    </xf>
    <xf numFmtId="4" fontId="5" fillId="2" borderId="0" xfId="0" applyNumberFormat="1" applyFont="1" applyFill="1" applyAlignment="1" applyProtection="1">
      <alignment horizontal="center" vertical="top"/>
      <protection locked="0"/>
    </xf>
    <xf numFmtId="3" fontId="5" fillId="2" borderId="0" xfId="0" applyNumberFormat="1" applyFont="1" applyFill="1" applyAlignment="1" applyProtection="1">
      <alignment horizontal="center" vertical="top"/>
      <protection locked="0"/>
    </xf>
    <xf numFmtId="164" fontId="5" fillId="2" borderId="0" xfId="0" applyNumberFormat="1" applyFont="1" applyFill="1" applyAlignment="1" applyProtection="1">
      <alignment horizontal="center" vertical="top"/>
      <protection locked="0"/>
    </xf>
    <xf numFmtId="0" fontId="5" fillId="2" borderId="0" xfId="0" applyFont="1" applyFill="1" applyAlignment="1" applyProtection="1">
      <alignment horizontal="center" vertical="top"/>
      <protection locked="0"/>
    </xf>
    <xf numFmtId="169" fontId="5" fillId="2" borderId="0" xfId="0" applyNumberFormat="1" applyFont="1" applyFill="1" applyAlignment="1" applyProtection="1">
      <alignment horizontal="center" vertical="top"/>
      <protection locked="0"/>
    </xf>
    <xf numFmtId="0" fontId="17" fillId="0" borderId="0" xfId="0" applyFont="1" applyAlignment="1" applyProtection="1">
      <alignment vertical="top" wrapText="1"/>
    </xf>
    <xf numFmtId="0" fontId="0" fillId="0" borderId="0" xfId="0" applyAlignment="1" applyProtection="1">
      <alignment vertical="top" wrapText="1"/>
    </xf>
    <xf numFmtId="0" fontId="11" fillId="0" borderId="0" xfId="0" applyFont="1" applyAlignment="1" applyProtection="1">
      <alignment vertical="top"/>
    </xf>
    <xf numFmtId="4" fontId="13" fillId="0" borderId="0" xfId="0" applyNumberFormat="1" applyFont="1" applyAlignment="1" applyProtection="1">
      <alignment horizontal="center" vertical="top"/>
    </xf>
    <xf numFmtId="176" fontId="13" fillId="0" borderId="0" xfId="0" applyNumberFormat="1" applyFont="1" applyAlignment="1" applyProtection="1">
      <alignment horizontal="center" vertical="top"/>
    </xf>
    <xf numFmtId="164" fontId="13" fillId="0" borderId="0" xfId="0" applyNumberFormat="1" applyFont="1" applyAlignment="1" applyProtection="1">
      <alignment horizontal="center" vertical="top"/>
    </xf>
    <xf numFmtId="0" fontId="13" fillId="0" borderId="0" xfId="0" applyFont="1" applyAlignment="1" applyProtection="1">
      <alignment horizontal="center" vertical="top"/>
    </xf>
    <xf numFmtId="169" fontId="13" fillId="0" borderId="0" xfId="0" applyNumberFormat="1" applyFont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rgbClr val="002C4D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Onde mora o preço: 86% do PU está no último fluxo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rgbClr val="002C4D"/>
              </a:solidFill>
              <a:latin typeface="Arial"/>
              <a:ea typeface="Arial"/>
              <a:cs typeface="Arial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Simulador!$L$21</c:f>
              <c:strCache>
                <c:ptCount val="1"/>
                <c:pt idx="0">
                  <c:v>% do PU</c:v>
                </c:pt>
              </c:strCache>
            </c:strRef>
          </c:tx>
          <c:spPr>
            <a:solidFill>
              <a:srgbClr val="0C63AA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202427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Simulador!$K$22:$K$25</c:f>
              <c:strCache>
                <c:ptCount val="4"/>
                <c:pt idx="0">
                  <c:v>126 du</c:v>
                </c:pt>
                <c:pt idx="1">
                  <c:v>252 du</c:v>
                </c:pt>
                <c:pt idx="2">
                  <c:v>378 du</c:v>
                </c:pt>
                <c:pt idx="3">
                  <c:v>504 du</c:v>
                </c:pt>
              </c:strCache>
            </c:strRef>
          </c:cat>
          <c:val>
            <c:numRef>
              <c:f>Simulador!$L$22:$L$25</c:f>
              <c:numCache>
                <c:formatCode>0.0%</c:formatCode>
                <c:ptCount val="4"/>
                <c:pt idx="0">
                  <c:v>4.8285359318100525E-2</c:v>
                </c:pt>
                <c:pt idx="1">
                  <c:v>4.5183134698212515E-2</c:v>
                </c:pt>
                <c:pt idx="2">
                  <c:v>4.2617213383278923E-2</c:v>
                </c:pt>
                <c:pt idx="3">
                  <c:v>0.86391429260040808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B-4883-B550-FB829C28F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70084064"/>
        <c:axId val="879839023"/>
      </c:barChart>
      <c:catAx>
        <c:axId val="9700840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79839023"/>
        <c:crosses val="autoZero"/>
        <c:auto val="1"/>
        <c:lblAlgn val="ctr"/>
        <c:lblOffset val="100"/>
        <c:noMultiLvlLbl val="0"/>
      </c:catAx>
      <c:valAx>
        <c:axId val="8798390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70084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116</xdr:row>
      <xdr:rowOff>0</xdr:rowOff>
    </xdr:from>
    <xdr:to>
      <xdr:col>8</xdr:col>
      <xdr:colOff>0</xdr:colOff>
      <xdr:row>136</xdr:row>
      <xdr:rowOff>0</xdr:rowOff>
    </xdr:to>
    <xdr:graphicFrame macro="">
      <xdr:nvGraphicFramePr>
        <xdr:cNvPr id="2" name="PVporVertice">
          <a:extLst>
            <a:ext uri="{FF2B5EF4-FFF2-40B4-BE49-F238E27FC236}">
              <a16:creationId xmlns:a16="http://schemas.microsoft.com/office/drawing/2014/main" id="{C790888B-E1C9-8190-252B-DC61145444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E77487E-D45A-4BF1-9241-5D2F54B06A34}">
  <we:reference id="wa200010725" version="1.0.0.1" store="pt-BR" storeType="OMEX"/>
  <we:alternateReferences>
    <we:reference id="WA200010725" version="1.0.0.1" store="" storeType="OMEX"/>
  </we:alternateReferences>
  <we:properties>
    <we:property name="claude.fileId" value="&quot;59d2d93b-9986-41eb-af28-4f1bfdef64c5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A2231-3BCF-4C1E-B2C3-3E068452DBC8}">
  <dimension ref="A1:AZ400"/>
  <sheetViews>
    <sheetView showGridLines="0" tabSelected="1" workbookViewId="0"/>
  </sheetViews>
  <sheetFormatPr defaultRowHeight="14.4" x14ac:dyDescent="0.3"/>
  <cols>
    <col min="1" max="1" width="2.5546875" customWidth="1"/>
    <col min="2" max="2" width="162" customWidth="1"/>
    <col min="3" max="6" width="11.109375" customWidth="1"/>
  </cols>
  <sheetData>
    <row r="1" spans="1:52" ht="22.8" customHeight="1" x14ac:dyDescent="0.4">
      <c r="A1" s="3"/>
      <c r="B1" s="31" t="s">
        <v>0</v>
      </c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x14ac:dyDescent="0.3">
      <c r="A2" s="3"/>
      <c r="B2" s="6" t="s">
        <v>1</v>
      </c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x14ac:dyDescent="0.3">
      <c r="A3" s="3"/>
      <c r="B3" s="3"/>
      <c r="C3" s="3"/>
      <c r="D3" s="3"/>
      <c r="E3" s="3"/>
      <c r="F3" s="3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ht="15.6" x14ac:dyDescent="0.3">
      <c r="A4" s="3"/>
      <c r="B4" s="53" t="s">
        <v>265</v>
      </c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ht="41.4" x14ac:dyDescent="0.3">
      <c r="A5" s="3"/>
      <c r="B5" s="28" t="s">
        <v>2</v>
      </c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x14ac:dyDescent="0.3">
      <c r="A6" s="3"/>
      <c r="B6" s="28"/>
      <c r="C6" s="3"/>
      <c r="D6" s="3"/>
      <c r="E6" s="3"/>
      <c r="F6" s="3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15.6" x14ac:dyDescent="0.3">
      <c r="A7" s="3"/>
      <c r="B7" s="53" t="s">
        <v>266</v>
      </c>
      <c r="C7" s="3"/>
      <c r="D7" s="3"/>
      <c r="E7" s="3"/>
      <c r="F7" s="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3">
      <c r="A8" s="3"/>
      <c r="B8" s="28" t="s">
        <v>3</v>
      </c>
      <c r="C8" s="3"/>
      <c r="D8" s="3"/>
      <c r="E8" s="3"/>
      <c r="F8" s="3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x14ac:dyDescent="0.3">
      <c r="A9" s="3"/>
      <c r="B9" s="28" t="s">
        <v>4</v>
      </c>
      <c r="C9" s="3"/>
      <c r="D9" s="3"/>
      <c r="E9" s="3"/>
      <c r="F9" s="3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x14ac:dyDescent="0.3">
      <c r="A10" s="3"/>
      <c r="B10" s="28" t="s">
        <v>5</v>
      </c>
      <c r="C10" s="3"/>
      <c r="D10" s="3"/>
      <c r="E10" s="3"/>
      <c r="F10" s="3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x14ac:dyDescent="0.3">
      <c r="A11" s="3"/>
      <c r="B11" s="29" t="s">
        <v>6</v>
      </c>
      <c r="C11" s="3"/>
      <c r="D11" s="3"/>
      <c r="E11" s="3"/>
      <c r="F11" s="3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x14ac:dyDescent="0.3">
      <c r="A12" s="3"/>
      <c r="B12" s="28"/>
      <c r="C12" s="3"/>
      <c r="D12" s="3"/>
      <c r="E12" s="3"/>
      <c r="F12" s="3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ht="15.6" x14ac:dyDescent="0.3">
      <c r="A13" s="3"/>
      <c r="B13" s="53" t="s">
        <v>262</v>
      </c>
      <c r="C13" s="3"/>
      <c r="D13" s="3"/>
      <c r="E13" s="3"/>
      <c r="F13" s="3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x14ac:dyDescent="0.3">
      <c r="A14" s="3"/>
      <c r="B14" s="63" t="s">
        <v>263</v>
      </c>
      <c r="C14" s="2"/>
      <c r="D14" s="2"/>
      <c r="E14" s="3"/>
      <c r="F14" s="3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x14ac:dyDescent="0.3">
      <c r="A15" s="3"/>
      <c r="B15" s="63" t="s">
        <v>264</v>
      </c>
      <c r="C15" s="2"/>
      <c r="D15" s="2"/>
      <c r="E15" s="3"/>
      <c r="F15" s="3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ht="4.95" customHeight="1" x14ac:dyDescent="0.3">
      <c r="A16" s="3"/>
      <c r="B16" s="64"/>
      <c r="C16" s="2"/>
      <c r="D16" s="2"/>
      <c r="E16" s="3"/>
      <c r="F16" s="3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ht="4.95" customHeight="1" x14ac:dyDescent="0.3">
      <c r="A17" s="3"/>
      <c r="B17" s="64"/>
      <c r="C17" s="2"/>
      <c r="D17" s="2"/>
      <c r="E17" s="3"/>
      <c r="F17" s="3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4.95" customHeight="1" x14ac:dyDescent="0.3">
      <c r="A18" s="3"/>
      <c r="B18" s="64"/>
      <c r="C18" s="2"/>
      <c r="D18" s="2"/>
      <c r="E18" s="3"/>
      <c r="F18" s="3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3">
      <c r="A19" s="3"/>
      <c r="B19" s="28"/>
      <c r="C19" s="3"/>
      <c r="D19" s="3"/>
      <c r="E19" s="3"/>
      <c r="F19" s="3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.6" x14ac:dyDescent="0.3">
      <c r="A20" s="3"/>
      <c r="B20" s="53" t="s">
        <v>267</v>
      </c>
      <c r="C20" s="3"/>
      <c r="D20" s="3"/>
      <c r="E20" s="3"/>
      <c r="F20" s="3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ht="27.6" x14ac:dyDescent="0.3">
      <c r="A21" s="3"/>
      <c r="B21" s="28" t="s">
        <v>9</v>
      </c>
      <c r="C21" s="3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3">
      <c r="A22" s="3"/>
      <c r="B22" s="28"/>
      <c r="C22" s="3"/>
      <c r="D22" s="3"/>
      <c r="E22" s="3"/>
      <c r="F22" s="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15.6" x14ac:dyDescent="0.3">
      <c r="A23" s="3"/>
      <c r="B23" s="53" t="s">
        <v>268</v>
      </c>
      <c r="C23" s="3"/>
      <c r="D23" s="3"/>
      <c r="E23" s="3"/>
      <c r="F23" s="3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ht="28.8" x14ac:dyDescent="0.3">
      <c r="A24" s="3"/>
      <c r="B24" s="54" t="str">
        <f>"""Descontar todos os fluxos por uma taxa só é assumir que a curva é plana. Ela nunca é. A diferença é pequena por título e material no lote: na curva do módulo, a TIR flat de "&amp;TEXT(Simulador!$D$66,"0,0000%")&amp;" muda o PU em "&amp;TEXT(Simulador!$F$66,"R$ 0,0000")&amp;" por título, o que vira "&amp;TEXT(Simulador!$G$66,"R$ #.##0")&amp;" em "&amp;TEXT(Simulador!$C$17,"R$ #.##0")&amp;" de face — e o sinal do erro muda com o formato da curva."""</f>
        <v>"Descontar todos os fluxos por uma taxa só é assumir que a curva é plana. Ela nunca é. A diferença é pequena por título e material no lote: na curva do módulo, a TIR flat de 13,0200% muda o PU em R$ 0,0226 por título, o que vira R$ 2.255 em R$ 100.000.000 de face — e o sinal do erro muda com o formato da curva."</v>
      </c>
      <c r="C24" s="3"/>
      <c r="D24" s="3"/>
      <c r="E24" s="3"/>
      <c r="F24" s="3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3">
      <c r="A25" s="3"/>
      <c r="B25" s="28"/>
      <c r="C25" s="3"/>
      <c r="D25" s="3"/>
      <c r="E25" s="3"/>
      <c r="F25" s="3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ht="15.6" x14ac:dyDescent="0.3">
      <c r="A26" s="3"/>
      <c r="B26" s="53" t="s">
        <v>269</v>
      </c>
      <c r="C26" s="3"/>
      <c r="D26" s="3"/>
      <c r="E26" s="3"/>
      <c r="F26" s="3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28.8" x14ac:dyDescent="0.3">
      <c r="A27" s="3"/>
      <c r="B27" s="54" t="str">
        <f>"""O fluxo de "&amp;TEXT(Simulador!$B$8,"0")&amp;" du cai num buraco da curva. Trocar o flat-forward do Módulo 2 por uma interpolação linear ("&amp;TEXT(Simulador!$C$68,"0,0000%")&amp;") muda o PU em "&amp;TEXT(Simulador!$F$68,"R$ 0,0000")&amp;" por título — "&amp;TEXT(Simulador!$G$68,"R$ #.##0")&amp;" na posição. A metodologia da aula passada aparece como centavos aqui, e centavos vezes lote grande é dinheiro."""</f>
        <v>"O fluxo de 378 du cai num buraco da curva. Trocar o flat-forward do Módulo 2 por uma interpolação linear (13,3000%) muda o PU em -R$ 0,0536 por título — -R$ 5.363 na posição. A metodologia da aula passada aparece como centavos aqui, e centavos vezes lote grande é dinheiro."</v>
      </c>
      <c r="C27" s="3"/>
      <c r="D27" s="3"/>
      <c r="E27" s="3"/>
      <c r="F27" s="3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3">
      <c r="A28" s="3"/>
      <c r="B28" s="28"/>
      <c r="C28" s="3"/>
      <c r="D28" s="3"/>
      <c r="E28" s="3"/>
      <c r="F28" s="3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ht="15.6" x14ac:dyDescent="0.3">
      <c r="A29" s="3"/>
      <c r="B29" s="53" t="s">
        <v>270</v>
      </c>
      <c r="C29" s="3"/>
      <c r="D29" s="3"/>
      <c r="E29" s="3"/>
      <c r="F29" s="3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ht="27.6" x14ac:dyDescent="0.3">
      <c r="A30" s="3"/>
      <c r="B30" s="28" t="s">
        <v>10</v>
      </c>
      <c r="C30" s="3"/>
      <c r="D30" s="3"/>
      <c r="E30" s="3"/>
      <c r="F30" s="3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3">
      <c r="A31" s="3"/>
      <c r="B31" s="28" t="str">
        <f>"Default do arquivo: base face, DV01 de "&amp;TEXT(Simulador!$C$83,"R$ #.##0")&amp;"/bp. Na base valor de mercado ("&amp;TEXT(Simulador!$C$29,"R$ #.##0")&amp;"), o DV01 cai para "&amp;TEXT(Simulador!$C$84,"R$ #.##0")&amp;"/bp."</f>
        <v>Default do arquivo: base face, DV01 de R$ 16.464/bp. Na base valor de mercado (R$ 95.074.737), o DV01 cai para R$ 15.653/bp.</v>
      </c>
      <c r="C31" s="3"/>
      <c r="D31" s="3"/>
      <c r="E31" s="3"/>
      <c r="F31" s="3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.6" x14ac:dyDescent="0.3">
      <c r="A32" s="3"/>
      <c r="B32" s="53" t="s">
        <v>271</v>
      </c>
      <c r="C32" s="3"/>
      <c r="D32" s="3"/>
      <c r="E32" s="3"/>
      <c r="F32" s="3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3">
      <c r="A33" s="3"/>
      <c r="B33" s="28" t="s">
        <v>11</v>
      </c>
      <c r="C33" s="3"/>
      <c r="D33" s="3"/>
      <c r="E33" s="3"/>
      <c r="F33" s="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3">
      <c r="A34" s="3"/>
      <c r="B34" s="28"/>
      <c r="C34" s="3"/>
      <c r="D34" s="3"/>
      <c r="E34" s="3"/>
      <c r="F34" s="3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ht="15.6" x14ac:dyDescent="0.3">
      <c r="A35" s="3"/>
      <c r="B35" s="53" t="s">
        <v>272</v>
      </c>
      <c r="C35" s="3"/>
      <c r="D35" s="3"/>
      <c r="E35" s="3"/>
      <c r="F35" s="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ht="41.4" x14ac:dyDescent="0.3">
      <c r="A36" s="3"/>
      <c r="B36" s="28" t="str">
        <f>"A apostila usa o cupom semestral publicado de "&amp;TEXT(Simulador!$C$40,"R$ #.##0,00")&amp;", que vem de arredondar (1,10)^0,5−1 = 4,88088% para 4,8809%. Este arquivo aplica a regra do truncamento à risca: 4,8808% → CF de "&amp;TEXT(Simulador!$C$16,"R$ #.##0,00")&amp;" e PU justo de "&amp;TEXT(Simulador!$C$27,"0,000000")&amp;" (mesa "&amp;TEXT(Simulador!$C$28,"R$ #.##0,00")&amp;"), contra o "&amp;TEXT(Simulador!$C$41,"0,000000")&amp;" da apostila — uma diferença de "&amp;TEXT(Simulador!$C$44,"R$ #.##0")&amp;" na posição, medida no bloco 3c. O seletor 'critério do cupom' no bloco 2 alterna entre as duas convenções e todos os gabaritos acompanham."</f>
        <v>A apostila usa o cupom semestral publicado de R$ 48,81, que vem de arredondar (1,10)^0,5−1 = 4,88088% para 4,8809%. Este arquivo aplica a regra do truncamento à risca: 4,8808% → CF de R$ 48,80 e PU justo de 950,747369 (mesa R$ 950,75), contra o 950,781714 da apostila — uma diferença de R$ 3.435 na posição, medida no bloco 3c. O seletor 'critério do cupom' no bloco 2 alterna entre as duas convenções e todos os gabaritos acompanham.</v>
      </c>
      <c r="C36" s="3"/>
      <c r="D36" s="3"/>
      <c r="E36" s="3"/>
      <c r="F36" s="3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3">
      <c r="A37" s="3"/>
      <c r="B37" s="28"/>
      <c r="C37" s="3"/>
      <c r="D37" s="3"/>
      <c r="E37" s="3"/>
      <c r="F37" s="3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15.6" x14ac:dyDescent="0.3">
      <c r="A38" s="3"/>
      <c r="B38" s="55" t="s">
        <v>12</v>
      </c>
      <c r="C38" s="52"/>
      <c r="D38" s="52"/>
      <c r="E38" s="3"/>
      <c r="F38" s="3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3">
      <c r="A39" s="3"/>
      <c r="B39" s="56" t="s">
        <v>13</v>
      </c>
      <c r="C39" s="52"/>
      <c r="D39" s="52"/>
      <c r="E39" s="3"/>
      <c r="F39" s="3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3">
      <c r="A40" s="3"/>
      <c r="B40" s="28"/>
      <c r="C40" s="3"/>
      <c r="D40" s="3"/>
      <c r="E40" s="3"/>
      <c r="F40" s="3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ht="27.6" x14ac:dyDescent="0.3">
      <c r="A41" s="3"/>
      <c r="B41" s="57" t="s">
        <v>14</v>
      </c>
      <c r="C41" s="3"/>
      <c r="D41" s="3"/>
      <c r="E41" s="3"/>
      <c r="F41" s="3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3">
      <c r="A42" s="3"/>
      <c r="B42" s="28"/>
      <c r="C42" s="3"/>
      <c r="D42" s="3"/>
      <c r="E42" s="3"/>
      <c r="F42" s="3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3">
      <c r="A43" s="3"/>
      <c r="B43" s="28"/>
      <c r="C43" s="3"/>
      <c r="D43" s="3"/>
      <c r="E43" s="3"/>
      <c r="F43" s="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3">
      <c r="A44" s="3"/>
      <c r="B44" s="28"/>
      <c r="C44" s="3"/>
      <c r="D44" s="3"/>
      <c r="E44" s="3"/>
      <c r="F44" s="3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3">
      <c r="A45" s="3"/>
      <c r="B45" s="28"/>
      <c r="C45" s="3"/>
      <c r="D45" s="3"/>
      <c r="E45" s="3"/>
      <c r="F45" s="3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3">
      <c r="A46" s="3"/>
      <c r="B46" s="3"/>
      <c r="C46" s="3"/>
      <c r="D46" s="3"/>
      <c r="E46" s="3"/>
      <c r="F46" s="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x14ac:dyDescent="0.3">
      <c r="A47" s="3"/>
      <c r="B47" s="3"/>
      <c r="C47" s="3"/>
      <c r="D47" s="3"/>
      <c r="E47" s="3"/>
      <c r="F47" s="3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3">
      <c r="A48" s="3"/>
      <c r="B48" s="3"/>
      <c r="C48" s="3"/>
      <c r="D48" s="3"/>
      <c r="E48" s="3"/>
      <c r="F48" s="3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3">
      <c r="A49" s="3"/>
      <c r="B49" s="3"/>
      <c r="C49" s="3"/>
      <c r="D49" s="3"/>
      <c r="E49" s="3"/>
      <c r="F49" s="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3">
      <c r="A50" s="3"/>
      <c r="B50" s="3"/>
      <c r="C50" s="3"/>
      <c r="D50" s="3"/>
      <c r="E50" s="3"/>
      <c r="F50" s="3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3">
      <c r="A51" s="3"/>
      <c r="B51" s="3"/>
      <c r="C51" s="3"/>
      <c r="D51" s="3"/>
      <c r="E51" s="3"/>
      <c r="F51" s="3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3">
      <c r="A52" s="3"/>
      <c r="B52" s="3"/>
      <c r="C52" s="3"/>
      <c r="D52" s="3"/>
      <c r="E52" s="3"/>
      <c r="F52" s="3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3">
      <c r="A53" s="3"/>
      <c r="B53" s="3"/>
      <c r="C53" s="3"/>
      <c r="D53" s="3"/>
      <c r="E53" s="3"/>
      <c r="F53" s="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x14ac:dyDescent="0.3">
      <c r="A54" s="3"/>
      <c r="B54" s="3"/>
      <c r="C54" s="3"/>
      <c r="D54" s="3"/>
      <c r="E54" s="3"/>
      <c r="F54" s="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3">
      <c r="A55" s="3"/>
      <c r="B55" s="3"/>
      <c r="C55" s="3"/>
      <c r="D55" s="3"/>
      <c r="E55" s="3"/>
      <c r="F55" s="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3">
      <c r="A56" s="3"/>
      <c r="B56" s="3"/>
      <c r="C56" s="3"/>
      <c r="D56" s="3"/>
      <c r="E56" s="3"/>
      <c r="F56" s="3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3">
      <c r="A57" s="3"/>
      <c r="B57" s="3"/>
      <c r="C57" s="3"/>
      <c r="D57" s="3"/>
      <c r="E57" s="3"/>
      <c r="F57" s="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3">
      <c r="A58" s="3"/>
      <c r="B58" s="3"/>
      <c r="C58" s="3"/>
      <c r="D58" s="3"/>
      <c r="E58" s="3"/>
      <c r="F58" s="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3">
      <c r="A59" s="3"/>
      <c r="B59" s="3"/>
      <c r="C59" s="3"/>
      <c r="D59" s="3"/>
      <c r="E59" s="3"/>
      <c r="F59" s="3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3">
      <c r="A60" s="3"/>
      <c r="B60" s="3"/>
      <c r="C60" s="3"/>
      <c r="D60" s="3"/>
      <c r="E60" s="3"/>
      <c r="F60" s="3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1:52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1:52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1:52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1:52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spans="1:52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spans="1:52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1:52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spans="1:52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1:52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1:52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1:52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spans="1:52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spans="1:52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spans="1:52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1:52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spans="1:52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spans="1:52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1:52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spans="1:52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1:52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1:52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spans="1:52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spans="1:52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1:52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1:52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1:52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spans="1:52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spans="1:52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spans="1:52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1:52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spans="1:52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spans="1:52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spans="1:52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1:52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1:52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spans="1:52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spans="1:52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spans="1:52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1:52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spans="1:52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1:52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spans="1:52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1:52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spans="1:52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spans="1:52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1:52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1:52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1:52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spans="1:52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spans="1:52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spans="1:52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spans="1:52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1:52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1:52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spans="1:52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spans="1:52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spans="1:52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1:52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spans="1:52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spans="1:52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1:52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52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1:52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spans="1:52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1:52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spans="1:52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spans="1:52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spans="1:52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spans="1:52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spans="1:52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spans="1:52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1:52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spans="1:52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spans="1:52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1:52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1:52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spans="1:52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spans="1:52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spans="1:52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1:52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52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spans="1:52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1:52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52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spans="1:52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spans="1:52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1:52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</sheetData>
  <sheetProtection sheet="1" scenarios="1" sort="0" autoFilter="0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043F-14CE-4463-A2BF-2AD616A9EAC0}">
  <dimension ref="A1:AZ400"/>
  <sheetViews>
    <sheetView showGridLines="0" workbookViewId="0"/>
  </sheetViews>
  <sheetFormatPr defaultRowHeight="14.4" x14ac:dyDescent="0.3"/>
  <cols>
    <col min="1" max="1" width="2.5546875" customWidth="1"/>
    <col min="2" max="2" width="59.44140625" customWidth="1"/>
    <col min="3" max="3" width="29.6640625" customWidth="1"/>
    <col min="4" max="4" width="21.88671875" customWidth="1"/>
    <col min="5" max="5" width="17.5546875" customWidth="1"/>
    <col min="6" max="8" width="20.77734375" customWidth="1"/>
    <col min="9" max="9" width="14.77734375" customWidth="1"/>
    <col min="10" max="10" width="2.5546875" customWidth="1"/>
    <col min="11" max="12" width="16.6640625" customWidth="1"/>
  </cols>
  <sheetData>
    <row r="1" spans="1:52" ht="22.8" customHeight="1" x14ac:dyDescent="0.4">
      <c r="A1" s="3"/>
      <c r="B1" s="3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x14ac:dyDescent="0.3">
      <c r="A2" s="3"/>
      <c r="B2" s="6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ht="15.6" customHeight="1" x14ac:dyDescent="0.3">
      <c r="A4" s="3"/>
      <c r="B4" s="33" t="s">
        <v>249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3">
      <c r="A5" s="3"/>
      <c r="B5" s="4" t="s">
        <v>15</v>
      </c>
      <c r="C5" s="4" t="s">
        <v>16</v>
      </c>
      <c r="D5" s="4" t="s">
        <v>17</v>
      </c>
      <c r="E5" s="4" t="s">
        <v>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x14ac:dyDescent="0.3">
      <c r="A6" s="3"/>
      <c r="B6" s="3">
        <v>126</v>
      </c>
      <c r="C6" s="34">
        <v>0.13</v>
      </c>
      <c r="D6" s="3" t="s">
        <v>19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3">
      <c r="A7" s="3"/>
      <c r="B7" s="3">
        <v>252</v>
      </c>
      <c r="C7" s="34">
        <v>0.13600000000000001</v>
      </c>
      <c r="D7" s="3" t="s">
        <v>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3">
      <c r="A8" s="3"/>
      <c r="B8" s="3">
        <v>378</v>
      </c>
      <c r="C8" s="34">
        <v>0.13200000000000001</v>
      </c>
      <c r="D8" s="6" t="s">
        <v>247</v>
      </c>
      <c r="E8" s="6" t="s">
        <v>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x14ac:dyDescent="0.3">
      <c r="A9" s="3"/>
      <c r="B9" s="3">
        <v>504</v>
      </c>
      <c r="C9" s="34">
        <v>0.13</v>
      </c>
      <c r="D9" s="3" t="s">
        <v>19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15.6" customHeight="1" x14ac:dyDescent="0.3">
      <c r="A11" s="3"/>
      <c r="B11" s="33" t="s">
        <v>250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x14ac:dyDescent="0.3">
      <c r="A12" s="3"/>
      <c r="B12" s="3" t="s">
        <v>21</v>
      </c>
      <c r="C12" s="35">
        <v>1000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3">
      <c r="A13" s="3"/>
      <c r="B13" s="3" t="s">
        <v>22</v>
      </c>
      <c r="C13" s="34">
        <v>0.1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x14ac:dyDescent="0.3">
      <c r="A14" s="3"/>
      <c r="B14" s="3" t="s">
        <v>23</v>
      </c>
      <c r="C14" s="36" t="s">
        <v>24</v>
      </c>
      <c r="D14" s="6" t="s">
        <v>25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x14ac:dyDescent="0.3">
      <c r="A15" s="3"/>
      <c r="B15" s="3" t="s">
        <v>26</v>
      </c>
      <c r="C15" s="39">
        <f>IF($C$14="truncar",TRUNC((1+C13)^0.5-1,6),ROUND((1+C13)^0.5-1,6))</f>
        <v>4.8807999999999997E-2</v>
      </c>
      <c r="D15" s="6" t="s">
        <v>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x14ac:dyDescent="0.3">
      <c r="A16" s="3"/>
      <c r="B16" s="3" t="s">
        <v>27</v>
      </c>
      <c r="C16" s="43">
        <f>IF($C$14="truncar",TRUNC(C12*C15,2),ROUND(C12*C15,2))</f>
        <v>48.8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3">
      <c r="A17" s="3"/>
      <c r="B17" s="3" t="s">
        <v>28</v>
      </c>
      <c r="C17" s="37">
        <v>100000000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3">
      <c r="A18" s="3"/>
      <c r="B18" s="3" t="s">
        <v>29</v>
      </c>
      <c r="C18" s="42">
        <f>C17/C12</f>
        <v>100000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ht="15.6" customHeight="1" x14ac:dyDescent="0.3">
      <c r="A20" s="3"/>
      <c r="B20" s="33" t="s">
        <v>251</v>
      </c>
      <c r="C20" s="3"/>
      <c r="D20" s="3"/>
      <c r="E20" s="3"/>
      <c r="F20" s="3"/>
      <c r="G20" s="3"/>
      <c r="H20" s="3"/>
      <c r="I20" s="3"/>
      <c r="J20" s="3"/>
      <c r="K20" s="6" t="s">
        <v>105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3">
      <c r="A21" s="3"/>
      <c r="B21" s="4" t="s">
        <v>31</v>
      </c>
      <c r="C21" s="4" t="s">
        <v>32</v>
      </c>
      <c r="D21" s="4" t="s">
        <v>33</v>
      </c>
      <c r="E21" s="4" t="s">
        <v>34</v>
      </c>
      <c r="F21" s="4" t="s">
        <v>7</v>
      </c>
      <c r="G21" s="4" t="s">
        <v>35</v>
      </c>
      <c r="H21" s="4" t="s">
        <v>36</v>
      </c>
      <c r="I21" s="4" t="s">
        <v>37</v>
      </c>
      <c r="J21" s="3"/>
      <c r="K21" s="3" t="s">
        <v>104</v>
      </c>
      <c r="L21" s="3" t="s">
        <v>37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3">
      <c r="A22" s="3"/>
      <c r="B22" s="3" t="s">
        <v>38</v>
      </c>
      <c r="C22" s="8">
        <f>$C$16</f>
        <v>48.8</v>
      </c>
      <c r="D22" s="3">
        <f>$B$6</f>
        <v>126</v>
      </c>
      <c r="E22" s="9">
        <f>D22/252</f>
        <v>0.5</v>
      </c>
      <c r="F22" s="7">
        <f>$C$6</f>
        <v>0.13</v>
      </c>
      <c r="G22" s="10">
        <f>(1+F22)^E22</f>
        <v>1.0630145812734648</v>
      </c>
      <c r="H22" s="11">
        <f>C22/G22</f>
        <v>45.90717837711955</v>
      </c>
      <c r="I22" s="12">
        <f>H22/$H$26</f>
        <v>4.8285359318100525E-2</v>
      </c>
      <c r="J22" s="3"/>
      <c r="K22" s="3" t="str">
        <f>TEXT(D22,"0")&amp;" du"</f>
        <v>126 du</v>
      </c>
      <c r="L22" s="12">
        <f>I22</f>
        <v>4.8285359318100525E-2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3">
      <c r="A23" s="3"/>
      <c r="B23" s="3" t="s">
        <v>39</v>
      </c>
      <c r="C23" s="8">
        <f>$C$16</f>
        <v>48.8</v>
      </c>
      <c r="D23" s="3">
        <f>$B$7</f>
        <v>252</v>
      </c>
      <c r="E23" s="9">
        <f>D23/252</f>
        <v>1</v>
      </c>
      <c r="F23" s="7">
        <f>$C$7</f>
        <v>0.13600000000000001</v>
      </c>
      <c r="G23" s="10">
        <f>(1+F23)^E23</f>
        <v>1.1360000000000001</v>
      </c>
      <c r="H23" s="11">
        <f>C23/G23</f>
        <v>42.957746478873233</v>
      </c>
      <c r="I23" s="12">
        <f>H23/$H$26</f>
        <v>4.5183134698212515E-2</v>
      </c>
      <c r="J23" s="3"/>
      <c r="K23" s="3" t="str">
        <f>TEXT(D23,"0")&amp;" du"</f>
        <v>252 du</v>
      </c>
      <c r="L23" s="12">
        <f>I23</f>
        <v>4.5183134698212515E-2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3">
      <c r="A24" s="3"/>
      <c r="B24" s="3" t="s">
        <v>40</v>
      </c>
      <c r="C24" s="8">
        <f>$C$16</f>
        <v>48.8</v>
      </c>
      <c r="D24" s="3">
        <f>$B$8</f>
        <v>378</v>
      </c>
      <c r="E24" s="9">
        <f>D24/252</f>
        <v>1.5</v>
      </c>
      <c r="F24" s="7">
        <f>$C$8</f>
        <v>0.13200000000000001</v>
      </c>
      <c r="G24" s="10">
        <f>(1+F24)^E24</f>
        <v>1.2043969312481664</v>
      </c>
      <c r="H24" s="11">
        <f>C24/G24</f>
        <v>40.518203537289438</v>
      </c>
      <c r="I24" s="12">
        <f>H24/$H$26</f>
        <v>4.2617213383278923E-2</v>
      </c>
      <c r="J24" s="3"/>
      <c r="K24" s="3" t="str">
        <f>TEXT(D24,"0")&amp;" du"</f>
        <v>378 du</v>
      </c>
      <c r="L24" s="12">
        <f>I24</f>
        <v>4.2617213383278923E-2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3">
      <c r="A25" s="3"/>
      <c r="B25" s="3" t="s">
        <v>41</v>
      </c>
      <c r="C25" s="8">
        <f>$C$16+$C$12</f>
        <v>1048.8</v>
      </c>
      <c r="D25" s="3">
        <f>$B$9</f>
        <v>504</v>
      </c>
      <c r="E25" s="9">
        <f>D25/252</f>
        <v>2</v>
      </c>
      <c r="F25" s="7">
        <f>$C$9</f>
        <v>0.13</v>
      </c>
      <c r="G25" s="10">
        <f>(1+F25)^E25</f>
        <v>1.2768999999999997</v>
      </c>
      <c r="H25" s="11">
        <f>C25/G25</f>
        <v>821.36424152243728</v>
      </c>
      <c r="I25" s="12">
        <f>H25/$H$26</f>
        <v>0.86391429260040808</v>
      </c>
      <c r="J25" s="3"/>
      <c r="K25" s="3" t="str">
        <f>TEXT(D25,"0")&amp;" du"</f>
        <v>504 du</v>
      </c>
      <c r="L25" s="12">
        <f>I25</f>
        <v>0.86391429260040808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3">
      <c r="A26" s="3"/>
      <c r="B26" s="3" t="s">
        <v>42</v>
      </c>
      <c r="C26" s="3"/>
      <c r="D26" s="3"/>
      <c r="E26" s="3"/>
      <c r="F26" s="3"/>
      <c r="G26" s="3"/>
      <c r="H26" s="11">
        <f>SUM(H22:H25)</f>
        <v>950.74736991571945</v>
      </c>
      <c r="I26" s="12">
        <f>SUM(I22:I25)</f>
        <v>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x14ac:dyDescent="0.3">
      <c r="A27" s="3"/>
      <c r="B27" s="3" t="s">
        <v>43</v>
      </c>
      <c r="C27" s="13">
        <f>TRUNC(H26,6)</f>
        <v>950.74736900000005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3">
      <c r="A28" s="3"/>
      <c r="B28" s="3" t="s">
        <v>44</v>
      </c>
      <c r="C28" s="14">
        <f>ROUND(H26,2)</f>
        <v>950.75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3">
      <c r="A29" s="3"/>
      <c r="B29" s="3" t="s">
        <v>45</v>
      </c>
      <c r="C29" s="45">
        <f>C27/C12*C17</f>
        <v>95074736.900000006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3">
      <c r="A30" s="3"/>
      <c r="B30" s="44" t="str">
        <f>TEXT(I25,"0,0%")&amp;" do preço está no último fluxo. É por isso que a NTN-F se comporta quase como uma LTN de "&amp;TEXT(D25,"0")&amp;" du — e por isso o cupom encurta a duration só um pouco."</f>
        <v>86,4% do preço está no último fluxo. É por isso que a NTN-F se comporta quase como uma LTN de 504 du — e por isso o cupom encurta a duration só um pouco.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15.6" customHeight="1" x14ac:dyDescent="0.3">
      <c r="A32" s="3"/>
      <c r="B32" s="33" t="s">
        <v>252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3">
      <c r="A33" s="3"/>
      <c r="B33" s="3" t="s">
        <v>46</v>
      </c>
      <c r="C33" s="40">
        <f>H26</f>
        <v>950.74736991571945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3">
      <c r="A34" s="3"/>
      <c r="B34" s="3" t="s">
        <v>43</v>
      </c>
      <c r="C34" s="40">
        <f>C27</f>
        <v>950.74736900000005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3">
      <c r="A35" s="3"/>
      <c r="B35" s="3" t="s">
        <v>47</v>
      </c>
      <c r="C35" s="51">
        <f>C33-C34</f>
        <v>9.1571939719869988E-7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3">
      <c r="A36" s="3"/>
      <c r="B36" s="3" t="s">
        <v>48</v>
      </c>
      <c r="C36" s="48">
        <f>C35/C12*C17</f>
        <v>9.1571939719869988E-2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3">
      <c r="A37" s="3"/>
      <c r="B37" s="44" t="str">
        <f>"o mercado não arredonda: trunca. O descarte de "&amp;TEXT(C35,"0,000000")&amp;" por título vale "&amp;TEXT(C36,"R$ #.##0,00")&amp;" na posição de "&amp;TEXT(C17,"R$ #.##0")&amp;" de face."</f>
        <v>o mercado não arredonda: trunca. O descarte de 0,000001 por título vale R$ 0,09 na posição de R$ 100.000.000 de face.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ht="15.6" customHeight="1" x14ac:dyDescent="0.3">
      <c r="A39" s="3"/>
      <c r="B39" s="33" t="s">
        <v>253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3">
      <c r="A40" s="3"/>
      <c r="B40" s="3" t="s">
        <v>49</v>
      </c>
      <c r="C40" s="35">
        <v>48.81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3">
      <c r="A41" s="3"/>
      <c r="B41" s="3" t="s">
        <v>50</v>
      </c>
      <c r="C41" s="40">
        <f>C40/G22+C40/G23+C40/G24+(C40+C12)/G25</f>
        <v>950.78171431869941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3">
      <c r="A42" s="3"/>
      <c r="B42" s="3" t="s">
        <v>51</v>
      </c>
      <c r="C42" s="40">
        <f>C27</f>
        <v>950.74736900000005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3">
      <c r="A43" s="3"/>
      <c r="B43" s="3" t="s">
        <v>47</v>
      </c>
      <c r="C43" s="51">
        <f>C41-C42</f>
        <v>3.4345318699365635E-2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3">
      <c r="A44" s="3"/>
      <c r="B44" s="3" t="s">
        <v>48</v>
      </c>
      <c r="C44" s="46">
        <f>C43/C12*C17</f>
        <v>3434.5318699365635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3">
      <c r="A45" s="3"/>
      <c r="B45" s="44" t="str">
        <f>"o critério do cupom é uma decisão de convenção, não de arredondamento de tela: truncar a taxa em 4 casas dá CF de "&amp;TEXT($C$16,"R$ #.##0,00")&amp;" e PU "&amp;TEXT($C$42,"0,000000")&amp;"; o cupom publicado de "&amp;TEXT($C$40,"R$ #.##0,00")&amp;" dá PU "&amp;TEXT($C$41,"0,000000")&amp;" (o R$ 950,78 da apostila). A escolha vale "&amp;TEXT($C$44,"R$ #.##0")&amp;" na posição."</f>
        <v>o critério do cupom é uma decisão de convenção, não de arredondamento de tela: truncar a taxa em 4 casas dá CF de R$ 48,80 e PU 950,747369; o cupom publicado de R$ 48,81 dá PU 950,781714 (o R$ 950,78 da apostila). A escolha vale R$ 3.435 na posição.</v>
      </c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ht="15.6" customHeight="1" x14ac:dyDescent="0.3">
      <c r="A47" s="3"/>
      <c r="B47" s="33" t="s">
        <v>254</v>
      </c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3">
      <c r="A48" s="3"/>
      <c r="B48" s="3" t="s">
        <v>248</v>
      </c>
      <c r="C48" s="3" t="s">
        <v>52</v>
      </c>
      <c r="D48" s="3" t="s">
        <v>53</v>
      </c>
      <c r="E48" s="3" t="s">
        <v>54</v>
      </c>
      <c r="F48" s="3" t="s">
        <v>55</v>
      </c>
      <c r="G48" s="3" t="s">
        <v>56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3">
      <c r="A49" s="3"/>
      <c r="B49" s="3"/>
      <c r="C49" s="15">
        <f>-C27</f>
        <v>-950.74736900000005</v>
      </c>
      <c r="D49" s="8">
        <f>$C$16</f>
        <v>48.8</v>
      </c>
      <c r="E49" s="8">
        <f>$C$16</f>
        <v>48.8</v>
      </c>
      <c r="F49" s="8">
        <f>$C$16</f>
        <v>48.8</v>
      </c>
      <c r="G49" s="8">
        <f>$C$16+$C$12</f>
        <v>1048.8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3">
      <c r="A50" s="3"/>
      <c r="B50" s="3" t="s">
        <v>57</v>
      </c>
      <c r="C50" s="39">
        <f>IRR(C49:G49)</f>
        <v>6.3115425786550494E-2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3">
      <c r="A51" s="3"/>
      <c r="B51" s="3" t="s">
        <v>58</v>
      </c>
      <c r="C51" s="16">
        <f>(1+C50)^2-1</f>
        <v>0.13021440854531852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3">
      <c r="A52" s="3"/>
      <c r="B52" s="44" t="str">
        <f>"a TIR ficou em "&amp;TEXT($C$51,"0,0000%")&amp;", entre as spots da curva, porque é uma média ponderada pelos fluxos: o fluxo gordo de "&amp;TEXT($D$25,"0")&amp;" du ("&amp;TEXT($C$9,"0,00%")&amp;") domina e os cupons no meio da curva ("&amp;TEXT($C$7,"0,00%")&amp;") puxam para cima."</f>
        <v>a TIR ficou em 13,0214%, entre as spots da curva, porque é uma média ponderada pelos fluxos: o fluxo gordo de 504 du (13,00%) domina e os cupons no meio da curva (13,60%) puxam para cima.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ht="15.6" customHeight="1" x14ac:dyDescent="0.3">
      <c r="A54" s="3"/>
      <c r="B54" s="33" t="s">
        <v>255</v>
      </c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3">
      <c r="A55" s="3"/>
      <c r="B55" s="4" t="s">
        <v>59</v>
      </c>
      <c r="C55" s="4" t="s">
        <v>22</v>
      </c>
      <c r="D55" s="4" t="s">
        <v>60</v>
      </c>
      <c r="E55" s="4" t="s">
        <v>61</v>
      </c>
      <c r="F55" s="4" t="s">
        <v>62</v>
      </c>
      <c r="G55" s="3"/>
      <c r="H55" s="17" t="s">
        <v>63</v>
      </c>
      <c r="I55" s="17"/>
      <c r="J55" s="17"/>
      <c r="K55" s="17"/>
      <c r="L55" s="17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3">
      <c r="A56" s="3"/>
      <c r="B56" s="3" t="s">
        <v>64</v>
      </c>
      <c r="C56" s="18">
        <v>0</v>
      </c>
      <c r="D56" s="8">
        <f>IF($C$14="truncar",TRUNC($C$12*TRUNC((1+C56)^0.5-1,6),2),ROUND($C$12*ROUND((1+C56)^0.5-1,6),2))</f>
        <v>0</v>
      </c>
      <c r="E56" s="11">
        <f>D56/G$22+D56/G$23+D56/G$24+(D56+$C$12)/G$25</f>
        <v>783.14668337379612</v>
      </c>
      <c r="F56" s="7">
        <f>(1+IRR(H56:L56))^2-1</f>
        <v>0.13000000000000012</v>
      </c>
      <c r="G56" s="3"/>
      <c r="H56" s="19">
        <f>-E56</f>
        <v>-783.14668337379612</v>
      </c>
      <c r="I56" s="19">
        <f>D56</f>
        <v>0</v>
      </c>
      <c r="J56" s="19">
        <f>D56</f>
        <v>0</v>
      </c>
      <c r="K56" s="19">
        <f>D56</f>
        <v>0</v>
      </c>
      <c r="L56" s="19">
        <f>D56+$C$12</f>
        <v>1000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3">
      <c r="A57" s="3"/>
      <c r="B57" s="3" t="s">
        <v>65</v>
      </c>
      <c r="C57" s="18">
        <v>0.06</v>
      </c>
      <c r="D57" s="8">
        <f t="shared" ref="D57:D58" si="0">IF($C$14="truncar",TRUNC($C$12*TRUNC((1+C57)^0.5-1,6),2),ROUND($C$12*ROUND((1+C57)^0.5-1,6),2))</f>
        <v>29.56</v>
      </c>
      <c r="E57" s="11">
        <f t="shared" ref="E57:E58" si="1">D57/G$22+D57/G$23+D57/G$24+(D57+$C$12)/G$25</f>
        <v>884.6687385823875</v>
      </c>
      <c r="F57" s="7">
        <f t="shared" ref="F57:F58" si="2">(1+IRR(H57:L57))^2-1</f>
        <v>0.13013602906709809</v>
      </c>
      <c r="G57" s="3"/>
      <c r="H57" s="19">
        <f t="shared" ref="H57:H58" si="3">-E57</f>
        <v>-884.6687385823875</v>
      </c>
      <c r="I57" s="19">
        <f t="shared" ref="I57:I58" si="4">D57</f>
        <v>29.56</v>
      </c>
      <c r="J57" s="19">
        <f t="shared" ref="J57:J58" si="5">D57</f>
        <v>29.56</v>
      </c>
      <c r="K57" s="19">
        <f t="shared" ref="K57:K58" si="6">D57</f>
        <v>29.56</v>
      </c>
      <c r="L57" s="19">
        <f t="shared" ref="L57:L58" si="7">D57+$C$12</f>
        <v>1029.56</v>
      </c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3">
      <c r="A58" s="3"/>
      <c r="B58" s="3" t="s">
        <v>66</v>
      </c>
      <c r="C58" s="18">
        <f>$C$13</f>
        <v>0.1</v>
      </c>
      <c r="D58" s="8">
        <f t="shared" si="0"/>
        <v>48.8</v>
      </c>
      <c r="E58" s="11">
        <f t="shared" si="1"/>
        <v>950.74736991571945</v>
      </c>
      <c r="F58" s="7">
        <f t="shared" si="2"/>
        <v>0.13021440796031714</v>
      </c>
      <c r="G58" s="3"/>
      <c r="H58" s="19">
        <f t="shared" si="3"/>
        <v>-950.74736991571945</v>
      </c>
      <c r="I58" s="19">
        <f t="shared" si="4"/>
        <v>48.8</v>
      </c>
      <c r="J58" s="19">
        <f t="shared" si="5"/>
        <v>48.8</v>
      </c>
      <c r="K58" s="19">
        <f t="shared" si="6"/>
        <v>48.8</v>
      </c>
      <c r="L58" s="19">
        <f t="shared" si="7"/>
        <v>1048.8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3">
      <c r="A60" s="3"/>
      <c r="B60" s="44" t="str">
        <f>"três TIRs diferentes ("&amp;TEXT(F56,"0,0000%")&amp;" · "&amp;TEXT(F57,"0,0000%")&amp;" · "&amp;TEXT(F58,"0,0000%")&amp;"), uma única curva, nenhum título mais barato que o outro. A dispersão é pequena aqui porque esta curva é quase plana entre "&amp;TEXT(MIN($C$6:$C$9),"0,00%")&amp;" e "&amp;TEXT(MAX($C$6:$C$9),"0,00%")&amp;" — troque a curva no bloco 1 por uma inclinada e veja a dispersão abrir."</f>
        <v>três TIRs diferentes (13,0000% · 13,0136% · 13,0214%), uma única curva, nenhum título mais barato que o outro. A dispersão é pequena aqui porque esta curva é quase plana entre 13,00% e 13,60% — troque a curva no bloco 1 por uma inclinada e veja a dispersão abrir.</v>
      </c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3">
      <c r="A61" s="3"/>
      <c r="B61" s="44" t="s">
        <v>67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ht="15.6" customHeight="1" x14ac:dyDescent="0.3">
      <c r="A63" s="3"/>
      <c r="B63" s="33" t="s">
        <v>256</v>
      </c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3">
      <c r="A64" s="3"/>
      <c r="B64" s="4" t="s">
        <v>68</v>
      </c>
      <c r="C64" s="4" t="s">
        <v>69</v>
      </c>
      <c r="D64" s="4" t="s">
        <v>70</v>
      </c>
      <c r="E64" s="4" t="s">
        <v>61</v>
      </c>
      <c r="F64" s="4" t="s">
        <v>71</v>
      </c>
      <c r="G64" s="4" t="s">
        <v>72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3">
      <c r="A65" s="3"/>
      <c r="B65" s="3" t="s">
        <v>73</v>
      </c>
      <c r="C65" s="7">
        <f>$C$8</f>
        <v>0.13200000000000001</v>
      </c>
      <c r="D65" s="3" t="s">
        <v>8</v>
      </c>
      <c r="E65" s="15">
        <f>$C$27</f>
        <v>950.74736900000005</v>
      </c>
      <c r="F65" s="49" t="s">
        <v>8</v>
      </c>
      <c r="G65" s="47" t="s">
        <v>8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3">
      <c r="A66" s="3"/>
      <c r="B66" s="3" t="s">
        <v>74</v>
      </c>
      <c r="C66" s="3" t="s">
        <v>8</v>
      </c>
      <c r="D66" s="34">
        <v>0.13020000000000001</v>
      </c>
      <c r="E66" s="15">
        <f>$C$16/(1+$D$66)^$E$22+$C$16/(1+$D$66)^$E$23+$C$16/(1+$D$66)^$E$24+($C$16+$C$12)/(1+$D$66)^$E$25</f>
        <v>950.76992351511228</v>
      </c>
      <c r="F66" s="49">
        <f>E66-$C$27</f>
        <v>2.2554515112233275E-2</v>
      </c>
      <c r="G66" s="47">
        <f>F66/$C$12*$C$17</f>
        <v>2255.4515112233275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3">
      <c r="A67" s="3"/>
      <c r="B67" s="3" t="s">
        <v>75</v>
      </c>
      <c r="C67" s="7">
        <f>(((1+$C$7)^($B$7/252))*(((1+$C$9)^($B$9/252))/((1+$C$7)^($B$7/252)))^(($B$8-$B$7)/($B$9-$B$7)))^(252/$B$8)-1</f>
        <v>0.13199647058212749</v>
      </c>
      <c r="D67" s="3" t="s">
        <v>8</v>
      </c>
      <c r="E67" s="15">
        <f>$C$16/(1+$C$6)^$E$22+$C$16/(1+$C$7)^$E$23+$C$16/(1+$C$67)^$E$24+($C$16+$C$12)/(1+$C$9)^$E$25</f>
        <v>950.74755941160606</v>
      </c>
      <c r="F67" s="49">
        <f>E67-$C$27</f>
        <v>1.9041160601318552E-4</v>
      </c>
      <c r="G67" s="47">
        <f>F67/$C$12*$C$17</f>
        <v>19.041160601318552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3">
      <c r="A68" s="3"/>
      <c r="B68" s="3" t="s">
        <v>76</v>
      </c>
      <c r="C68" s="34">
        <v>0.13300000000000001</v>
      </c>
      <c r="D68" s="3" t="s">
        <v>8</v>
      </c>
      <c r="E68" s="15">
        <f>$C$16/(1+$C$6)^$E$22+$C$16/(1+$C$7)^$E$23+$C$16/(1+$C$68)^$E$24+($C$16+$C$12)/(1+$C$9)^$E$25</f>
        <v>950.69373894252476</v>
      </c>
      <c r="F68" s="49">
        <f>E68-$C$27</f>
        <v>-5.3630057475288595E-2</v>
      </c>
      <c r="G68" s="47">
        <f>F68/$C$12*$C$17</f>
        <v>-5363.0057475288595</v>
      </c>
      <c r="H68" s="6" t="str">
        <f>"linear = "&amp;TEXT($C$7+($C$9-$C$7)*($B$8-$B$7)/($B$9-$B$7),"0,0000%")&amp;" (média entre 252 e 504 du)"</f>
        <v>linear = 13,3000% (média entre 252 e 504 du)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3">
      <c r="A70" s="3"/>
      <c r="B70" s="44" t="s">
        <v>77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ht="15.6" customHeight="1" x14ac:dyDescent="0.3">
      <c r="A72" s="3"/>
      <c r="B72" s="33" t="s">
        <v>257</v>
      </c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3">
      <c r="A73" s="3"/>
      <c r="B73" s="4" t="s">
        <v>31</v>
      </c>
      <c r="C73" s="4" t="s">
        <v>32</v>
      </c>
      <c r="D73" s="4" t="s">
        <v>34</v>
      </c>
      <c r="E73" s="4" t="s">
        <v>78</v>
      </c>
      <c r="F73" s="4" t="s">
        <v>79</v>
      </c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3">
      <c r="A74" s="3"/>
      <c r="B74" s="3" t="str">
        <f>B22</f>
        <v>C1</v>
      </c>
      <c r="C74" s="8">
        <f>C22</f>
        <v>48.8</v>
      </c>
      <c r="D74" s="9">
        <f>E22</f>
        <v>0.5</v>
      </c>
      <c r="E74" s="11">
        <f>C74/(1+$C$51)^D74</f>
        <v>45.902823735150967</v>
      </c>
      <c r="F74" s="11">
        <f>E74*D74</f>
        <v>22.951411867575484</v>
      </c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3">
      <c r="A75" s="3"/>
      <c r="B75" s="3" t="str">
        <f>B23</f>
        <v>C2</v>
      </c>
      <c r="C75" s="8">
        <f>C23</f>
        <v>48.8</v>
      </c>
      <c r="D75" s="9">
        <f>E23</f>
        <v>1</v>
      </c>
      <c r="E75" s="11">
        <f>C75/(1+$C$51)^D75</f>
        <v>43.177648091400393</v>
      </c>
      <c r="F75" s="11">
        <f>E75*D75</f>
        <v>43.177648091400393</v>
      </c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3">
      <c r="A76" s="3"/>
      <c r="B76" s="3" t="str">
        <f>B24</f>
        <v>C3</v>
      </c>
      <c r="C76" s="8">
        <f>C24</f>
        <v>48.8</v>
      </c>
      <c r="D76" s="9">
        <f>E24</f>
        <v>1.5</v>
      </c>
      <c r="E76" s="11">
        <f>C76/(1+$C$51)^D76</f>
        <v>40.614261672908398</v>
      </c>
      <c r="F76" s="11">
        <f>E76*D76</f>
        <v>60.921392509362597</v>
      </c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3">
      <c r="A77" s="3"/>
      <c r="B77" s="3" t="str">
        <f>B25</f>
        <v>C4 + principal</v>
      </c>
      <c r="C77" s="8">
        <f>C25</f>
        <v>1048.8</v>
      </c>
      <c r="D77" s="9">
        <f>E25</f>
        <v>2</v>
      </c>
      <c r="E77" s="11">
        <f>C77/(1+$C$51)^D77</f>
        <v>821.05263550054042</v>
      </c>
      <c r="F77" s="11">
        <f>E77*D77</f>
        <v>1642.1052710010808</v>
      </c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3">
      <c r="A78" s="3"/>
      <c r="B78" s="3" t="s">
        <v>80</v>
      </c>
      <c r="C78" s="3"/>
      <c r="D78" s="3"/>
      <c r="E78" s="11">
        <f>SUM(E74:E77)</f>
        <v>950.74736900000016</v>
      </c>
      <c r="F78" s="11">
        <f>SUM(F74:F77)</f>
        <v>1769.1557234694194</v>
      </c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3">
      <c r="A79" s="3"/>
      <c r="B79" s="3" t="s">
        <v>81</v>
      </c>
      <c r="C79" s="20">
        <f>F78/E78</f>
        <v>1.860805279251232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3">
      <c r="A80" s="3"/>
      <c r="B80" s="3" t="s">
        <v>82</v>
      </c>
      <c r="C80" s="20">
        <f>C79/(1+C51)</f>
        <v>1.6464179408633144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3">
      <c r="A81" s="3"/>
      <c r="B81" s="3" t="s">
        <v>83</v>
      </c>
      <c r="C81" s="36" t="s">
        <v>84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3">
      <c r="A82" s="3"/>
      <c r="B82" s="3" t="s">
        <v>85</v>
      </c>
      <c r="C82" s="46">
        <f>IF($C$81="face — convenção do material",$C$17,$C$29)</f>
        <v>100000000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3">
      <c r="A83" s="3"/>
      <c r="B83" s="3" t="s">
        <v>86</v>
      </c>
      <c r="C83" s="45">
        <f>C80*C17*0.0001</f>
        <v>16464.179408633143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3">
      <c r="A84" s="3"/>
      <c r="B84" s="3" t="s">
        <v>87</v>
      </c>
      <c r="C84" s="46">
        <f>C80*C29*0.0001</f>
        <v>15653.275255501938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3">
      <c r="A85" s="3"/>
      <c r="B85" s="3" t="s">
        <v>88</v>
      </c>
      <c r="C85" s="46">
        <f>C80*C82*0.0001</f>
        <v>16464.179408633143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x14ac:dyDescent="0.3">
      <c r="A86" s="3"/>
      <c r="B86" s="3" t="s">
        <v>89</v>
      </c>
      <c r="C86" s="38">
        <v>50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ht="15.6" customHeight="1" x14ac:dyDescent="0.3">
      <c r="A88" s="3"/>
      <c r="B88" s="33" t="s">
        <v>258</v>
      </c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x14ac:dyDescent="0.3">
      <c r="A89" s="3"/>
      <c r="B89" s="3" t="s">
        <v>90</v>
      </c>
      <c r="C89" s="45">
        <f>-C83*C86</f>
        <v>-823208.97043165716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x14ac:dyDescent="0.3">
      <c r="A90" s="3"/>
      <c r="B90" s="3" t="s">
        <v>91</v>
      </c>
      <c r="C90" s="46">
        <f>-C84*C86</f>
        <v>-782663.76277509693</v>
      </c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x14ac:dyDescent="0.3">
      <c r="A91" s="3"/>
      <c r="B91" s="3" t="s">
        <v>92</v>
      </c>
      <c r="C91" s="45">
        <f>($C$16/(1+$C$6+$C$86/10000)^$E$22+$C$16/(1+$C$7+$C$86/10000)^$E$23+$C$16/(1+$C$8+$C$86/10000)^$E$24+($C$16+$C$12)/(1+$C$9+$C$86/10000)^$E$25-$C$27)/$C$12*$C$17</f>
        <v>-777719.97978092032</v>
      </c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x14ac:dyDescent="0.3">
      <c r="A92" s="3"/>
      <c r="B92" s="3" t="s">
        <v>93</v>
      </c>
      <c r="C92" s="46">
        <f>-C85*C86</f>
        <v>-823208.97043165716</v>
      </c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x14ac:dyDescent="0.3">
      <c r="A93" s="3"/>
      <c r="B93" s="44" t="str">
        <f>"Dos "&amp;TEXT(ABS($C$89-$C$91),"R$ #.##0")&amp;" entre o número do slide e o reapreçamento exato, "&amp;TEXT(ABS($C$89-$C$90),"R$ #.##0")&amp;" vêm da base (face × valor de mercado) e "&amp;TEXT(ABS($C$90-$C$91),"R$ #.##0")&amp;" da curvatura — a convexidade, que é Módulo 4. Reportar o DV01 sobre a face é conservador: superestima a dor."</f>
        <v>Dos R$ 45.489 entre o número do slide e o reapreçamento exato, R$ 40.545 vêm da base (face × valor de mercado) e R$ 4.944 da curvatura — a convexidade, que é Módulo 4. Reportar o DV01 sobre a face é conservador: superestima a dor.</v>
      </c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ht="15.6" customHeight="1" x14ac:dyDescent="0.3">
      <c r="A95" s="3"/>
      <c r="B95" s="33" t="s">
        <v>259</v>
      </c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x14ac:dyDescent="0.3">
      <c r="A96" s="3"/>
      <c r="B96" s="3" t="s">
        <v>94</v>
      </c>
      <c r="C96" s="40">
        <f>C12/(1+C7)^(B7/252)</f>
        <v>880.28169014084494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x14ac:dyDescent="0.3">
      <c r="A97" s="3"/>
      <c r="B97" s="3" t="s">
        <v>95</v>
      </c>
      <c r="C97" s="41">
        <f>(B7/252)/(1+C7)</f>
        <v>0.88028169014084501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x14ac:dyDescent="0.3">
      <c r="A98" s="3"/>
      <c r="B98" s="3" t="s">
        <v>96</v>
      </c>
      <c r="C98" s="45">
        <f>C97*C17*0.0001</f>
        <v>8802.8169014084506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x14ac:dyDescent="0.3">
      <c r="A99" s="3"/>
      <c r="B99" s="3" t="s">
        <v>97</v>
      </c>
      <c r="C99" s="21">
        <f>C86</f>
        <v>50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x14ac:dyDescent="0.3">
      <c r="A100" s="3"/>
      <c r="B100" s="3" t="s">
        <v>98</v>
      </c>
      <c r="C100" s="45">
        <f>-C98*C99</f>
        <v>-440140.84507042251</v>
      </c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1:52" x14ac:dyDescent="0.3">
      <c r="A101" s="3"/>
      <c r="B101" s="44" t="str">
        <f>"mesmos "&amp;TEXT($C$17,"R$ #.##0")&amp;" de face, dores completamente diferentes: "&amp;TEXT($C$89,"R$ #.##0")&amp;" na NTN-F contra "&amp;TEXT($C$100,"R$ #.##0")&amp;" na LTN — a diferença é duration, não taxa."</f>
        <v>mesmos R$ 100.000.000 de face, dores completamente diferentes: -R$ 823.209 na NTN-F contra -R$ 440.141 na LTN — a diferença é duration, não taxa.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1:52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1:52" ht="15.6" customHeight="1" x14ac:dyDescent="0.3">
      <c r="A103" s="3"/>
      <c r="B103" s="33" t="s">
        <v>260</v>
      </c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x14ac:dyDescent="0.3">
      <c r="A104" s="3"/>
      <c r="B104" s="3" t="s">
        <v>99</v>
      </c>
      <c r="C104" s="35">
        <v>948.1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x14ac:dyDescent="0.3">
      <c r="A105" s="3"/>
      <c r="B105" s="3" t="s">
        <v>100</v>
      </c>
      <c r="C105" s="40">
        <f>C27</f>
        <v>950.74736900000005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3">
      <c r="A106" s="3"/>
      <c r="B106" s="3" t="s">
        <v>47</v>
      </c>
      <c r="C106" s="51">
        <f>C104-C105</f>
        <v>-2.6473690000000261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1:52" x14ac:dyDescent="0.3">
      <c r="A107" s="3"/>
      <c r="B107" s="3" t="s">
        <v>48</v>
      </c>
      <c r="C107" s="45">
        <f>C106/C12*C17</f>
        <v>-264736.90000000258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spans="1:52" x14ac:dyDescent="0.3">
      <c r="A108" s="3"/>
      <c r="B108" s="3" t="s">
        <v>101</v>
      </c>
      <c r="C108" s="22" t="str">
        <f>IF(ABS($C$106)&lt;=0.01,"no justo",IF($C$106&gt;0,"RICH — caro contra a curva","CHEAP — barato contra a curva"))</f>
        <v>CHEAP — barato contra a curva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spans="1:52" x14ac:dyDescent="0.3">
      <c r="A109" s="3"/>
      <c r="B109" s="44" t="s">
        <v>102</v>
      </c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1:52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ht="15.6" customHeight="1" x14ac:dyDescent="0.3">
      <c r="A111" s="3"/>
      <c r="B111" s="33" t="s">
        <v>261</v>
      </c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x14ac:dyDescent="0.3">
      <c r="A112" s="3"/>
      <c r="B112" s="4" t="s">
        <v>99</v>
      </c>
      <c r="C112" s="4" t="s">
        <v>101</v>
      </c>
      <c r="D112" s="4" t="s">
        <v>71</v>
      </c>
      <c r="E112" s="4" t="s">
        <v>72</v>
      </c>
      <c r="F112" s="4" t="s">
        <v>103</v>
      </c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x14ac:dyDescent="0.3">
      <c r="A113" s="3"/>
      <c r="B113" s="8">
        <v>948.1</v>
      </c>
      <c r="C113" s="3" t="str">
        <f>IF(ABS(D113)&lt;=0.01,"no justo",IF(D113&gt;0,"RICH","CHEAP"))</f>
        <v>CHEAP</v>
      </c>
      <c r="D113" s="50">
        <f>B113-$C$27</f>
        <v>-2.6473690000000261</v>
      </c>
      <c r="E113" s="47">
        <f>D113/$C$12*$C$17</f>
        <v>-264736.90000000258</v>
      </c>
      <c r="F113" s="3" t="str">
        <f>IF(ABS(D113)&lt;=0.01,"preço de tela igual ao justo",IF(D113&gt;0,"vender contra a curva","comprar contra a curva"))</f>
        <v>comprar contra a curva</v>
      </c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x14ac:dyDescent="0.3">
      <c r="A114" s="3"/>
      <c r="B114" s="8">
        <f>ROUND($C$27,2)</f>
        <v>950.75</v>
      </c>
      <c r="C114" s="3" t="str">
        <f t="shared" ref="C114:C115" si="8">IF(ABS(D114)&lt;=0.01,"no justo",IF(D114&gt;0,"RICH","CHEAP"))</f>
        <v>no justo</v>
      </c>
      <c r="D114" s="50">
        <f t="shared" ref="D114:D115" si="9">B114-$C$27</f>
        <v>2.6309999999512002E-3</v>
      </c>
      <c r="E114" s="47">
        <f t="shared" ref="E114:E115" si="10">D114/$C$12*$C$17</f>
        <v>263.09999999512002</v>
      </c>
      <c r="F114" s="3" t="str">
        <f t="shared" ref="F114:F115" si="11">IF(ABS(D114)&lt;=0.01,"preço de tela igual ao justo",IF(D114&gt;0,"vender contra a curva","comprar contra a curva"))</f>
        <v>preço de tela igual ao justo</v>
      </c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x14ac:dyDescent="0.3">
      <c r="A115" s="3"/>
      <c r="B115" s="8">
        <v>953.4</v>
      </c>
      <c r="C115" s="3" t="str">
        <f t="shared" si="8"/>
        <v>RICH</v>
      </c>
      <c r="D115" s="50">
        <f t="shared" si="9"/>
        <v>2.6526309999999285</v>
      </c>
      <c r="E115" s="47">
        <f t="shared" si="10"/>
        <v>265263.09999999282</v>
      </c>
      <c r="F115" s="3" t="str">
        <f t="shared" si="11"/>
        <v>vender contra a curva</v>
      </c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spans="1:52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1:52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1:52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1:52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spans="1:52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spans="1:52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spans="1:52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1:52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spans="1:52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spans="1:52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1:52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spans="1:52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1:52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1:52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spans="1:52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spans="1:52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1:52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1:52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1:52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spans="1:52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spans="1:52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spans="1:52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1:52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spans="1:52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spans="1:52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spans="1:52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1:52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1:52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spans="1:52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spans="1:52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spans="1:52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1:52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spans="1:52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1:52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spans="1:52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1:52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spans="1:52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spans="1:52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1:52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1:52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1:52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spans="1:52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spans="1:52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spans="1:52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spans="1:52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1:52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1:52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spans="1:52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spans="1:52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spans="1:52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1:52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spans="1:52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spans="1:52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1:52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52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1:52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spans="1:52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1:52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spans="1:52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spans="1:52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spans="1:52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spans="1:52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spans="1:52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spans="1:52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1:52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spans="1:52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spans="1:52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1:52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1:52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spans="1:52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spans="1:52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spans="1:52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1:52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52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spans="1:52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1:52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52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spans="1:52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spans="1:52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1:52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</sheetData>
  <sheetProtection sheet="1" scenarios="1" sort="0" autoFilter="0"/>
  <dataValidations count="3">
    <dataValidation type="list" allowBlank="1" showInputMessage="1" showErrorMessage="1" sqref="C14" xr:uid="{1CE6B624-933A-4260-AF6E-A096F09140A0}">
      <formula1>"truncar,arredondar"</formula1>
    </dataValidation>
    <dataValidation type="list" allowBlank="1" showInputMessage="1" showErrorMessage="1" sqref="C81" xr:uid="{088F40F5-C99B-4026-AEC0-0BDB3A5F8014}">
      <formula1>"face — convenção do material,valor de mercado"</formula1>
    </dataValidation>
    <dataValidation type="decimal" allowBlank="1" showInputMessage="1" showErrorMessage="1" errorTitle="Taxa inválida" error="A spot deve ficar entre 0% e 100%." sqref="C6:C9" xr:uid="{81365EE5-AA6A-4BFF-B003-E973FC1FBA67}">
      <formula1>0</formula1>
      <formula2>1</formula2>
    </dataValidation>
  </dataValidations>
  <pageMargins left="0.511811024" right="0.511811024" top="0.78740157499999996" bottom="0.78740157499999996" header="0.31496062000000002" footer="0.31496062000000002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50D84-84EF-474C-9842-B6DAE5356634}">
  <dimension ref="A1:AZ400"/>
  <sheetViews>
    <sheetView showGridLines="0" workbookViewId="0"/>
  </sheetViews>
  <sheetFormatPr defaultRowHeight="14.4" x14ac:dyDescent="0.3"/>
  <cols>
    <col min="1" max="1" width="2.5546875" customWidth="1"/>
    <col min="2" max="2" width="77.5546875" customWidth="1"/>
    <col min="3" max="3" width="19.77734375" customWidth="1"/>
    <col min="4" max="4" width="24.109375" customWidth="1"/>
    <col min="5" max="5" width="27.77734375" customWidth="1"/>
    <col min="6" max="6" width="86.44140625" customWidth="1"/>
    <col min="7" max="7" width="70.33203125" customWidth="1"/>
    <col min="8" max="8" width="14.77734375" customWidth="1"/>
  </cols>
  <sheetData>
    <row r="1" spans="1:52" ht="22.8" customHeight="1" x14ac:dyDescent="0.3">
      <c r="A1" s="23"/>
      <c r="B1" s="65" t="s">
        <v>273</v>
      </c>
      <c r="C1" s="23"/>
      <c r="D1" s="23"/>
      <c r="E1" s="23"/>
      <c r="F1" s="23"/>
      <c r="G1" s="2"/>
      <c r="H1" s="2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ht="57.6" x14ac:dyDescent="0.3">
      <c r="A2" s="23"/>
      <c r="B2" s="27" t="s">
        <v>274</v>
      </c>
      <c r="C2" s="23"/>
      <c r="D2" s="23"/>
      <c r="E2" s="23"/>
      <c r="F2" s="23"/>
      <c r="G2" s="2"/>
      <c r="H2" s="2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x14ac:dyDescent="0.3">
      <c r="A3" s="23"/>
      <c r="B3" s="23"/>
      <c r="C3" s="23"/>
      <c r="D3" s="23"/>
      <c r="E3" s="23"/>
      <c r="F3" s="23"/>
      <c r="G3" s="2"/>
      <c r="H3" s="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x14ac:dyDescent="0.3">
      <c r="A4" s="23"/>
      <c r="B4" s="24" t="s">
        <v>275</v>
      </c>
      <c r="C4" s="24" t="s">
        <v>106</v>
      </c>
      <c r="D4" s="24" t="s">
        <v>107</v>
      </c>
      <c r="E4" s="24" t="s">
        <v>108</v>
      </c>
      <c r="F4" s="24" t="s">
        <v>276</v>
      </c>
      <c r="G4" s="2"/>
      <c r="H4" s="2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3">
      <c r="A5" s="23"/>
      <c r="B5" s="23"/>
      <c r="C5" s="23"/>
      <c r="D5" s="23"/>
      <c r="E5" s="23"/>
      <c r="F5" s="23"/>
      <c r="G5" s="2"/>
      <c r="H5" s="2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ht="27.6" x14ac:dyDescent="0.3">
      <c r="A6" s="23"/>
      <c r="B6" s="30" t="s">
        <v>277</v>
      </c>
      <c r="C6" s="23"/>
      <c r="D6" s="23"/>
      <c r="E6" s="23"/>
      <c r="F6" s="25"/>
      <c r="G6" s="2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ht="27.6" x14ac:dyDescent="0.3">
      <c r="A7" s="23"/>
      <c r="B7" s="25" t="s">
        <v>278</v>
      </c>
      <c r="C7" s="58"/>
      <c r="D7" s="66">
        <f>ROUND(Simulador!C27,2)</f>
        <v>950.75</v>
      </c>
      <c r="E7" s="26" t="str">
        <f>IF(C7="","—",IF(ABS(C7-D7)&lt;=0.01,"✔ correto","✖ revise"))</f>
        <v>—</v>
      </c>
      <c r="F7" s="25" t="s">
        <v>279</v>
      </c>
      <c r="G7" s="2"/>
      <c r="H7" s="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3">
      <c r="A8" s="23"/>
      <c r="B8" s="25" t="s">
        <v>280</v>
      </c>
      <c r="C8" s="59"/>
      <c r="D8" s="67">
        <f>Simulador!C29</f>
        <v>95074736.900000006</v>
      </c>
      <c r="E8" s="26" t="str">
        <f>IF(C8="","—",IF(ABS(C8-D8)&lt;=500,"✔ correto","✖ revise"))</f>
        <v>—</v>
      </c>
      <c r="F8" s="25"/>
      <c r="G8" s="2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x14ac:dyDescent="0.3">
      <c r="A9" s="23"/>
      <c r="B9" s="25"/>
      <c r="C9" s="23"/>
      <c r="D9" s="23"/>
      <c r="E9" s="23"/>
      <c r="F9" s="25"/>
      <c r="G9" s="2"/>
      <c r="H9" s="2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27.6" x14ac:dyDescent="0.3">
      <c r="A10" s="23"/>
      <c r="B10" s="30" t="s">
        <v>281</v>
      </c>
      <c r="C10" s="23"/>
      <c r="D10" s="23"/>
      <c r="E10" s="23"/>
      <c r="F10" s="25"/>
      <c r="G10" s="2"/>
      <c r="H10" s="2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ht="41.4" x14ac:dyDescent="0.3">
      <c r="A11" s="23"/>
      <c r="B11" s="25" t="s">
        <v>282</v>
      </c>
      <c r="C11" s="60"/>
      <c r="D11" s="68">
        <f>Simulador!C51</f>
        <v>0.13021440854531852</v>
      </c>
      <c r="E11" s="26" t="str">
        <f>IF(C11="","—",IF(ABS(C11-D11)&lt;=0.0001,"✔ correto","✖ revise"))</f>
        <v>—</v>
      </c>
      <c r="F11" s="25" t="s">
        <v>283</v>
      </c>
      <c r="G11" s="2"/>
      <c r="H11" s="2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x14ac:dyDescent="0.3">
      <c r="A12" s="23"/>
      <c r="B12" s="25" t="s">
        <v>284</v>
      </c>
      <c r="C12" s="61"/>
      <c r="D12" s="69" t="s">
        <v>285</v>
      </c>
      <c r="E12" s="26" t="str">
        <f>IF(C12="","—",IF(LOWER(TRIM(C12))=D12,"✔ correto","✖ revise"))</f>
        <v>—</v>
      </c>
      <c r="F12" s="25"/>
      <c r="G12" s="2"/>
      <c r="H12" s="2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3">
      <c r="A13" s="23"/>
      <c r="B13" s="25"/>
      <c r="C13" s="23"/>
      <c r="D13" s="23"/>
      <c r="E13" s="23"/>
      <c r="F13" s="25"/>
      <c r="G13" s="2"/>
      <c r="H13" s="2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27.6" x14ac:dyDescent="0.3">
      <c r="A14" s="23"/>
      <c r="B14" s="30" t="s">
        <v>286</v>
      </c>
      <c r="C14" s="23"/>
      <c r="D14" s="23"/>
      <c r="E14" s="23"/>
      <c r="F14" s="25"/>
      <c r="G14" s="2"/>
      <c r="H14" s="2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ht="41.4" x14ac:dyDescent="0.3">
      <c r="A15" s="23"/>
      <c r="B15" s="25" t="s">
        <v>287</v>
      </c>
      <c r="C15" s="62"/>
      <c r="D15" s="70">
        <f>Simulador!E68</f>
        <v>950.69373894252476</v>
      </c>
      <c r="E15" s="26" t="str">
        <f>IF(C15="","—",IF(ABS(C15-D15)&lt;=0.01,"✔ correto","✖ revise"))</f>
        <v>—</v>
      </c>
      <c r="F15" s="25" t="s">
        <v>288</v>
      </c>
      <c r="G15" s="2"/>
      <c r="H15" s="2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x14ac:dyDescent="0.3">
      <c r="A16" s="23"/>
      <c r="B16" s="25" t="s">
        <v>289</v>
      </c>
      <c r="C16" s="59"/>
      <c r="D16" s="67">
        <f>Simulador!G68</f>
        <v>-5363.0057475288595</v>
      </c>
      <c r="E16" s="26" t="str">
        <f>IF(C16="","—",IF(ABS(ABS(C16)-ABS(D16))&lt;=500,"✔ correto","✖ revise"))</f>
        <v>—</v>
      </c>
      <c r="F16" s="25"/>
      <c r="G16" s="2"/>
      <c r="H16" s="2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3">
      <c r="A17" s="23"/>
      <c r="B17" s="25"/>
      <c r="C17" s="23"/>
      <c r="D17" s="23"/>
      <c r="E17" s="23"/>
      <c r="F17" s="25"/>
      <c r="G17" s="2"/>
      <c r="H17" s="2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ht="27.6" x14ac:dyDescent="0.3">
      <c r="A18" s="23"/>
      <c r="B18" s="30" t="s">
        <v>290</v>
      </c>
      <c r="C18" s="23"/>
      <c r="D18" s="23"/>
      <c r="E18" s="23"/>
      <c r="F18" s="25"/>
      <c r="G18" s="2"/>
      <c r="H18" s="2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ht="27.6" x14ac:dyDescent="0.3">
      <c r="A19" s="23"/>
      <c r="B19" s="25" t="s">
        <v>291</v>
      </c>
      <c r="C19" s="61"/>
      <c r="D19" s="69" t="str">
        <f>IF(ABS(Simulador!D113)&lt;=0.01,"justo",IF(Simulador!D113&gt;0,"rich","cheap"))</f>
        <v>cheap</v>
      </c>
      <c r="E19" s="26" t="str">
        <f>IF(C19="","—",IF(LOWER(TRIM(C19))=D19,"✔ correto","✖ revise"))</f>
        <v>—</v>
      </c>
      <c r="F19" s="25" t="s">
        <v>292</v>
      </c>
      <c r="G19" s="2"/>
      <c r="H19" s="2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x14ac:dyDescent="0.3">
      <c r="A20" s="23"/>
      <c r="B20" s="25" t="s">
        <v>293</v>
      </c>
      <c r="C20" s="59"/>
      <c r="D20" s="67">
        <f>ABS(Simulador!E113)</f>
        <v>264736.90000000258</v>
      </c>
      <c r="E20" s="26" t="str">
        <f>IF(C20="","—",IF(ABS(ABS(C20)-ABS(D20))&lt;=500,"✔ correto","✖ revise"))</f>
        <v>—</v>
      </c>
      <c r="F20" s="25"/>
      <c r="G20" s="2"/>
      <c r="H20" s="2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3">
      <c r="A21" s="23"/>
      <c r="B21" s="25"/>
      <c r="C21" s="23"/>
      <c r="D21" s="23"/>
      <c r="E21" s="23"/>
      <c r="F21" s="25"/>
      <c r="G21" s="2"/>
      <c r="H21" s="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ht="27.6" x14ac:dyDescent="0.3">
      <c r="A22" s="23"/>
      <c r="B22" s="30" t="s">
        <v>294</v>
      </c>
      <c r="C22" s="23"/>
      <c r="D22" s="23"/>
      <c r="E22" s="23"/>
      <c r="F22" s="25"/>
      <c r="G22" s="2"/>
      <c r="H22" s="2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ht="41.4" x14ac:dyDescent="0.3">
      <c r="A23" s="23"/>
      <c r="B23" s="25" t="s">
        <v>295</v>
      </c>
      <c r="C23" s="59"/>
      <c r="D23" s="67">
        <f>Simulador!C83</f>
        <v>16464.179408633143</v>
      </c>
      <c r="E23" s="26" t="str">
        <f>IF(C23="","—",IF(ABS(C23-D23)&lt;=100,"✔ correto","✖ revise"))</f>
        <v>—</v>
      </c>
      <c r="F23" s="25" t="s">
        <v>296</v>
      </c>
      <c r="G23" s="2"/>
      <c r="H23" s="2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3">
      <c r="A24" s="23"/>
      <c r="B24" s="25" t="s">
        <v>297</v>
      </c>
      <c r="C24" s="59"/>
      <c r="D24" s="67">
        <f>Simulador!C89</f>
        <v>-823208.97043165716</v>
      </c>
      <c r="E24" s="26" t="str">
        <f>IF(C24="","—",IF(ABS(ABS(C24)-ABS(D24))&lt;=500,"✔ correto","✖ revise"))</f>
        <v>—</v>
      </c>
      <c r="F24" s="25"/>
      <c r="G24" s="2"/>
      <c r="H24" s="2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x14ac:dyDescent="0.3">
      <c r="A25" s="23"/>
      <c r="B25" s="25" t="s">
        <v>298</v>
      </c>
      <c r="C25" s="59"/>
      <c r="D25" s="67">
        <f>Simulador!C98</f>
        <v>8802.8169014084506</v>
      </c>
      <c r="E25" s="26" t="str">
        <f>IF(C25="","—",IF(ABS(C25-D25)&lt;=100,"✔ correto","✖ revise"))</f>
        <v>—</v>
      </c>
      <c r="F25" s="25"/>
      <c r="G25" s="2"/>
      <c r="H25" s="2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3">
      <c r="A26" s="23"/>
      <c r="B26" s="25"/>
      <c r="C26" s="23"/>
      <c r="D26" s="23"/>
      <c r="E26" s="23"/>
      <c r="F26" s="25"/>
      <c r="G26" s="2"/>
      <c r="H26" s="2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ht="27.6" x14ac:dyDescent="0.3">
      <c r="A27" s="23"/>
      <c r="B27" s="30" t="s">
        <v>299</v>
      </c>
      <c r="C27" s="23"/>
      <c r="D27" s="23"/>
      <c r="E27" s="23"/>
      <c r="F27" s="25"/>
      <c r="G27" s="2"/>
      <c r="H27" s="2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ht="27.6" x14ac:dyDescent="0.3">
      <c r="A28" s="23"/>
      <c r="B28" s="25" t="s">
        <v>300</v>
      </c>
      <c r="C28" s="61"/>
      <c r="D28" s="69" t="s">
        <v>301</v>
      </c>
      <c r="E28" s="26" t="str">
        <f>IF(C28="","—",IF(LOWER(TRIM(C28))=D28,"✔ correto","✖ revise"))</f>
        <v>—</v>
      </c>
      <c r="F28" s="25" t="s">
        <v>302</v>
      </c>
      <c r="G28" s="2"/>
      <c r="H28" s="2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3">
      <c r="A29" s="23"/>
      <c r="B29" s="25" t="s">
        <v>303</v>
      </c>
      <c r="C29" s="59"/>
      <c r="D29" s="67">
        <f>Simulador!G66</f>
        <v>2255.4515112233275</v>
      </c>
      <c r="E29" s="26" t="str">
        <f>IF(C29="","—",IF(ABS(ABS(C29)-ABS(D29))&lt;=500,"✔ correto","✖ revise"))</f>
        <v>—</v>
      </c>
      <c r="F29" s="25"/>
      <c r="G29" s="2"/>
      <c r="H29" s="2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3">
      <c r="A30" s="23"/>
      <c r="B30" s="25"/>
      <c r="C30" s="23"/>
      <c r="D30" s="23"/>
      <c r="E30" s="23"/>
      <c r="F30" s="25"/>
      <c r="G30" s="2"/>
      <c r="H30" s="2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ht="27.6" x14ac:dyDescent="0.3">
      <c r="A31" s="23"/>
      <c r="B31" s="30" t="s">
        <v>304</v>
      </c>
      <c r="C31" s="23"/>
      <c r="D31" s="23"/>
      <c r="E31" s="23"/>
      <c r="F31" s="25"/>
      <c r="G31" s="2"/>
      <c r="H31" s="2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ht="55.2" x14ac:dyDescent="0.3">
      <c r="A32" s="23"/>
      <c r="B32" s="25" t="s">
        <v>305</v>
      </c>
      <c r="C32" s="61"/>
      <c r="D32" s="69" t="s">
        <v>306</v>
      </c>
      <c r="E32" s="26" t="str">
        <f>IF(LEN(TRIM(C32))&lt;30,"— escreva sua resposta","Registrada — compare com a resposta-modelo")</f>
        <v>— escreva sua resposta</v>
      </c>
      <c r="F32" s="25" t="s">
        <v>307</v>
      </c>
      <c r="G32" s="2"/>
      <c r="H32" s="2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x14ac:dyDescent="0.3">
      <c r="A33" s="23"/>
      <c r="B33" s="23"/>
      <c r="C33" s="23"/>
      <c r="D33" s="23"/>
      <c r="E33" s="23"/>
      <c r="F33" s="23"/>
      <c r="G33" s="2"/>
      <c r="H33" s="2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3">
      <c r="A34" s="23"/>
      <c r="B34" s="23"/>
      <c r="C34" s="23"/>
      <c r="D34" s="23"/>
      <c r="E34" s="23"/>
      <c r="F34" s="23"/>
      <c r="G34" s="2"/>
      <c r="H34" s="2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3">
      <c r="A35" s="23"/>
      <c r="B35" s="23"/>
      <c r="C35" s="23"/>
      <c r="D35" s="23"/>
      <c r="E35" s="23"/>
      <c r="F35" s="23"/>
      <c r="G35" s="2"/>
      <c r="H35" s="2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3">
      <c r="A36" s="23"/>
      <c r="B36" s="23"/>
      <c r="C36" s="23"/>
      <c r="D36" s="23"/>
      <c r="E36" s="23"/>
      <c r="F36" s="23"/>
      <c r="G36" s="2"/>
      <c r="H36" s="2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x14ac:dyDescent="0.3">
      <c r="A37" s="23"/>
      <c r="B37" s="23"/>
      <c r="C37" s="23"/>
      <c r="D37" s="23"/>
      <c r="E37" s="23"/>
      <c r="F37" s="23"/>
      <c r="G37" s="2"/>
      <c r="H37" s="2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x14ac:dyDescent="0.3">
      <c r="A38" s="23"/>
      <c r="B38" s="23"/>
      <c r="C38" s="23"/>
      <c r="D38" s="23"/>
      <c r="E38" s="23"/>
      <c r="F38" s="23"/>
      <c r="G38" s="2"/>
      <c r="H38" s="2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3">
      <c r="A39" s="23"/>
      <c r="B39" s="23"/>
      <c r="C39" s="23"/>
      <c r="D39" s="23"/>
      <c r="E39" s="23"/>
      <c r="F39" s="23"/>
      <c r="G39" s="2"/>
      <c r="H39" s="2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3">
      <c r="A40" s="23"/>
      <c r="B40" s="23"/>
      <c r="C40" s="23"/>
      <c r="D40" s="23"/>
      <c r="E40" s="23"/>
      <c r="F40" s="23"/>
      <c r="G40" s="2"/>
      <c r="H40" s="2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3">
      <c r="A41" s="3"/>
      <c r="B41" s="3"/>
      <c r="C41" s="3"/>
      <c r="D41" s="3"/>
      <c r="E41" s="3"/>
      <c r="F41" s="3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3">
      <c r="A42" s="3"/>
      <c r="B42" s="3"/>
      <c r="C42" s="3"/>
      <c r="D42" s="3"/>
      <c r="E42" s="3"/>
      <c r="F42" s="3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3">
      <c r="A43" s="3"/>
      <c r="B43" s="3"/>
      <c r="C43" s="3"/>
      <c r="D43" s="3"/>
      <c r="E43" s="3"/>
      <c r="F43" s="3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3">
      <c r="A44" s="3"/>
      <c r="B44" s="3"/>
      <c r="C44" s="3"/>
      <c r="D44" s="3"/>
      <c r="E44" s="3"/>
      <c r="F44" s="3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3">
      <c r="A45" s="3"/>
      <c r="B45" s="3"/>
      <c r="C45" s="3"/>
      <c r="D45" s="3"/>
      <c r="E45" s="3"/>
      <c r="F45" s="3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3">
      <c r="A46" s="3"/>
      <c r="B46" s="3"/>
      <c r="C46" s="3"/>
      <c r="D46" s="3"/>
      <c r="E46" s="3"/>
      <c r="F46" s="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x14ac:dyDescent="0.3">
      <c r="A47" s="3"/>
      <c r="B47" s="3"/>
      <c r="C47" s="3"/>
      <c r="D47" s="3"/>
      <c r="E47" s="3"/>
      <c r="F47" s="3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x14ac:dyDescent="0.3">
      <c r="A48" s="3"/>
      <c r="B48" s="3"/>
      <c r="C48" s="3"/>
      <c r="D48" s="3"/>
      <c r="E48" s="3"/>
      <c r="F48" s="3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x14ac:dyDescent="0.3">
      <c r="A49" s="3"/>
      <c r="B49" s="3"/>
      <c r="C49" s="3"/>
      <c r="D49" s="3"/>
      <c r="E49" s="3"/>
      <c r="F49" s="3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x14ac:dyDescent="0.3">
      <c r="A50" s="3"/>
      <c r="B50" s="3"/>
      <c r="C50" s="3"/>
      <c r="D50" s="3"/>
      <c r="E50" s="3"/>
      <c r="F50" s="3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x14ac:dyDescent="0.3">
      <c r="A51" s="3"/>
      <c r="B51" s="3"/>
      <c r="C51" s="3"/>
      <c r="D51" s="3"/>
      <c r="E51" s="3"/>
      <c r="F51" s="3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x14ac:dyDescent="0.3">
      <c r="A52" s="3"/>
      <c r="B52" s="3"/>
      <c r="C52" s="3"/>
      <c r="D52" s="3"/>
      <c r="E52" s="3"/>
      <c r="F52" s="3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3">
      <c r="A53" s="3"/>
      <c r="B53" s="3"/>
      <c r="C53" s="3"/>
      <c r="D53" s="3"/>
      <c r="E53" s="3"/>
      <c r="F53" s="3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x14ac:dyDescent="0.3">
      <c r="A54" s="3"/>
      <c r="B54" s="3"/>
      <c r="C54" s="3"/>
      <c r="D54" s="3"/>
      <c r="E54" s="3"/>
      <c r="F54" s="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3">
      <c r="A55" s="3"/>
      <c r="B55" s="3"/>
      <c r="C55" s="3"/>
      <c r="D55" s="3"/>
      <c r="E55" s="3"/>
      <c r="F55" s="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3">
      <c r="A56" s="3"/>
      <c r="B56" s="3"/>
      <c r="C56" s="3"/>
      <c r="D56" s="3"/>
      <c r="E56" s="3"/>
      <c r="F56" s="3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3">
      <c r="A57" s="3"/>
      <c r="B57" s="3"/>
      <c r="C57" s="3"/>
      <c r="D57" s="3"/>
      <c r="E57" s="3"/>
      <c r="F57" s="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3">
      <c r="A58" s="3"/>
      <c r="B58" s="3"/>
      <c r="C58" s="3"/>
      <c r="D58" s="3"/>
      <c r="E58" s="3"/>
      <c r="F58" s="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3">
      <c r="A59" s="3"/>
      <c r="B59" s="3"/>
      <c r="C59" s="3"/>
      <c r="D59" s="3"/>
      <c r="E59" s="3"/>
      <c r="F59" s="3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3">
      <c r="A60" s="3"/>
      <c r="B60" s="3"/>
      <c r="C60" s="3"/>
      <c r="D60" s="3"/>
      <c r="E60" s="3"/>
      <c r="F60" s="3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1:52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1:52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1:52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1:52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spans="1:52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spans="1:52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1:52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spans="1:52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1:52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1:52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1:52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spans="1:52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spans="1:52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spans="1:52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1:52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spans="1:52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spans="1:52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1:52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spans="1:52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1:52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1:52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spans="1:52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spans="1:52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1:52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1:52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1:52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spans="1:52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spans="1:52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spans="1:52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1:52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spans="1:52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spans="1:52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spans="1:52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1:52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1:52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spans="1:52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spans="1:52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spans="1:52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1:52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spans="1:52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1:52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spans="1:52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1:52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spans="1:52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spans="1:52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1:52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1:52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1:52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spans="1:52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spans="1:52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spans="1:52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spans="1:52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1:52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1:52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spans="1:52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spans="1:52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spans="1:52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1:52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spans="1:52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spans="1:52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1:52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52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1:52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spans="1:52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1:52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spans="1:52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spans="1:52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spans="1:52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spans="1:52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spans="1:52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spans="1:52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1:52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spans="1:52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spans="1:52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1:52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1:52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spans="1:52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spans="1:52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spans="1:52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1:52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52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spans="1:52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1:52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52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spans="1:52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spans="1:52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1:52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</sheetData>
  <sheetProtection sheet="1" scenarios="1" sort="0" autoFilter="0"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B015C-2145-494A-914C-0AC2BA6FB978}">
  <dimension ref="A1:AZ400"/>
  <sheetViews>
    <sheetView showGridLines="0" workbookViewId="0"/>
  </sheetViews>
  <sheetFormatPr defaultRowHeight="14.4" x14ac:dyDescent="0.3"/>
  <cols>
    <col min="1" max="1" width="2.5546875" customWidth="1"/>
    <col min="2" max="2" width="162" customWidth="1"/>
    <col min="3" max="3" width="11.109375" customWidth="1"/>
  </cols>
  <sheetData>
    <row r="1" spans="1:52" ht="22.8" x14ac:dyDescent="0.3">
      <c r="A1" s="3"/>
      <c r="B1" s="32" t="s">
        <v>109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</row>
    <row r="2" spans="1:52" x14ac:dyDescent="0.3">
      <c r="A2" s="3"/>
      <c r="B2" s="29" t="s">
        <v>110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</row>
    <row r="3" spans="1:52" x14ac:dyDescent="0.3">
      <c r="A3" s="3"/>
      <c r="B3" s="28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x14ac:dyDescent="0.3">
      <c r="A4" s="3"/>
      <c r="B4" s="28" t="s">
        <v>111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x14ac:dyDescent="0.3">
      <c r="A5" s="3"/>
      <c r="B5" s="28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ht="27.6" x14ac:dyDescent="0.3">
      <c r="A6" s="3"/>
      <c r="B6" s="28" t="s">
        <v>112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x14ac:dyDescent="0.3">
      <c r="A7" s="3"/>
      <c r="B7" s="28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x14ac:dyDescent="0.3">
      <c r="A8" s="3"/>
      <c r="B8" s="28" t="s">
        <v>113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x14ac:dyDescent="0.3">
      <c r="A9" s="3"/>
      <c r="B9" s="28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ht="55.2" x14ac:dyDescent="0.3">
      <c r="A10" s="3"/>
      <c r="B10" s="28" t="s">
        <v>114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x14ac:dyDescent="0.3">
      <c r="A11" s="3"/>
      <c r="B11" s="28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</row>
    <row r="12" spans="1:52" x14ac:dyDescent="0.3">
      <c r="A12" s="3"/>
      <c r="B12" s="28" t="s">
        <v>115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</row>
    <row r="13" spans="1:52" x14ac:dyDescent="0.3">
      <c r="A13" s="3"/>
      <c r="B13" s="28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</row>
    <row r="14" spans="1:52" ht="27.6" x14ac:dyDescent="0.3">
      <c r="A14" s="3"/>
      <c r="B14" s="28" t="s">
        <v>116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</row>
    <row r="15" spans="1:52" x14ac:dyDescent="0.3">
      <c r="A15" s="3"/>
      <c r="B15" s="28" t="s">
        <v>117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</row>
    <row r="16" spans="1:52" x14ac:dyDescent="0.3">
      <c r="A16" s="3"/>
      <c r="B16" s="28" t="s">
        <v>118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</row>
    <row r="17" spans="1:52" x14ac:dyDescent="0.3">
      <c r="A17" s="3"/>
      <c r="B17" s="28" t="s">
        <v>119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</row>
    <row r="18" spans="1:52" x14ac:dyDescent="0.3">
      <c r="A18" s="3"/>
      <c r="B18" s="2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</row>
    <row r="19" spans="1:52" x14ac:dyDescent="0.3">
      <c r="A19" s="3"/>
      <c r="B19" s="28" t="s">
        <v>120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</row>
    <row r="20" spans="1:52" x14ac:dyDescent="0.3">
      <c r="A20" s="3"/>
      <c r="B20" s="2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</row>
    <row r="21" spans="1:52" x14ac:dyDescent="0.3">
      <c r="A21" s="3"/>
      <c r="B21" s="28" t="s">
        <v>121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</row>
    <row r="22" spans="1:52" x14ac:dyDescent="0.3">
      <c r="A22" s="3"/>
      <c r="B22" s="2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</row>
    <row r="23" spans="1:52" x14ac:dyDescent="0.3">
      <c r="A23" s="3"/>
      <c r="B23" s="28" t="s">
        <v>13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</row>
    <row r="24" spans="1:52" x14ac:dyDescent="0.3">
      <c r="A24" s="3"/>
      <c r="B24" s="2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</row>
    <row r="25" spans="1:52" ht="27.6" x14ac:dyDescent="0.3">
      <c r="A25" s="3"/>
      <c r="B25" s="28" t="s">
        <v>122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</row>
    <row r="26" spans="1:52" x14ac:dyDescent="0.3">
      <c r="A26" s="3"/>
      <c r="B26" s="2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</row>
    <row r="27" spans="1:52" x14ac:dyDescent="0.3">
      <c r="A27" s="3"/>
      <c r="B27" s="28" t="s">
        <v>123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</row>
    <row r="28" spans="1:52" x14ac:dyDescent="0.3">
      <c r="A28" s="3"/>
      <c r="B28" s="2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</row>
    <row r="29" spans="1:52" x14ac:dyDescent="0.3">
      <c r="A29" s="3"/>
      <c r="B29" s="28" t="s">
        <v>124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</row>
    <row r="30" spans="1:52" x14ac:dyDescent="0.3">
      <c r="A30" s="3"/>
      <c r="B30" s="2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</row>
    <row r="31" spans="1:52" x14ac:dyDescent="0.3">
      <c r="A31" s="3"/>
      <c r="B31" s="28" t="s">
        <v>125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</row>
    <row r="32" spans="1:52" x14ac:dyDescent="0.3">
      <c r="A32" s="3"/>
      <c r="B32" s="2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</row>
    <row r="33" spans="1:52" ht="41.4" x14ac:dyDescent="0.3">
      <c r="A33" s="3"/>
      <c r="B33" s="28" t="s">
        <v>126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</row>
    <row r="34" spans="1:52" x14ac:dyDescent="0.3">
      <c r="A34" s="3"/>
      <c r="B34" s="28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</row>
    <row r="35" spans="1:52" x14ac:dyDescent="0.3">
      <c r="A35" s="3"/>
      <c r="B35" s="28" t="s">
        <v>127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</row>
    <row r="36" spans="1:52" x14ac:dyDescent="0.3">
      <c r="A36" s="3"/>
      <c r="B36" s="2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</row>
    <row r="37" spans="1:52" ht="27.6" x14ac:dyDescent="0.3">
      <c r="A37" s="3"/>
      <c r="B37" s="28" t="s">
        <v>128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</row>
    <row r="38" spans="1:52" ht="27.6" x14ac:dyDescent="0.3">
      <c r="A38" s="3"/>
      <c r="B38" s="28" t="s">
        <v>129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</row>
    <row r="39" spans="1:52" x14ac:dyDescent="0.3">
      <c r="A39" s="3"/>
      <c r="B39" s="28" t="s">
        <v>130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</row>
    <row r="40" spans="1:52" x14ac:dyDescent="0.3">
      <c r="A40" s="3"/>
      <c r="B40" s="2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</row>
    <row r="41" spans="1:52" x14ac:dyDescent="0.3">
      <c r="A41" s="3"/>
      <c r="B41" s="28" t="s">
        <v>131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</row>
    <row r="42" spans="1:52" x14ac:dyDescent="0.3">
      <c r="A42" s="3"/>
      <c r="B42" s="28" t="s">
        <v>132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</row>
    <row r="43" spans="1:52" x14ac:dyDescent="0.3">
      <c r="A43" s="3"/>
      <c r="B43" s="28" t="s">
        <v>133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</row>
    <row r="44" spans="1:52" x14ac:dyDescent="0.3">
      <c r="A44" s="3"/>
      <c r="B44" s="28" t="s">
        <v>134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</row>
    <row r="45" spans="1:52" x14ac:dyDescent="0.3">
      <c r="A45" s="3"/>
      <c r="B45" s="28" t="s">
        <v>135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</row>
    <row r="46" spans="1:52" x14ac:dyDescent="0.3">
      <c r="A46" s="3"/>
      <c r="B46" s="2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</row>
    <row r="47" spans="1:52" ht="27.6" x14ac:dyDescent="0.3">
      <c r="A47" s="3"/>
      <c r="B47" s="28" t="s">
        <v>136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</row>
    <row r="48" spans="1:52" ht="27.6" x14ac:dyDescent="0.3">
      <c r="A48" s="3"/>
      <c r="B48" s="28" t="s">
        <v>137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</row>
    <row r="49" spans="1:52" ht="27.6" x14ac:dyDescent="0.3">
      <c r="A49" s="3"/>
      <c r="B49" s="28" t="s">
        <v>138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</row>
    <row r="50" spans="1:52" ht="41.4" x14ac:dyDescent="0.3">
      <c r="A50" s="3"/>
      <c r="B50" s="28" t="s">
        <v>139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</row>
    <row r="51" spans="1:52" ht="27.6" x14ac:dyDescent="0.3">
      <c r="A51" s="3"/>
      <c r="B51" s="28" t="s">
        <v>140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</row>
    <row r="52" spans="1:52" ht="27.6" x14ac:dyDescent="0.3">
      <c r="A52" s="3"/>
      <c r="B52" s="28" t="s">
        <v>141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</row>
    <row r="53" spans="1:52" x14ac:dyDescent="0.3">
      <c r="A53" s="3"/>
      <c r="B53" s="2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</row>
    <row r="54" spans="1:52" x14ac:dyDescent="0.3">
      <c r="A54" s="3"/>
      <c r="B54" s="28" t="s">
        <v>142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</row>
    <row r="55" spans="1:52" x14ac:dyDescent="0.3">
      <c r="A55" s="3"/>
      <c r="B55" s="2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</row>
    <row r="56" spans="1:52" x14ac:dyDescent="0.3">
      <c r="A56" s="3"/>
      <c r="B56" s="28" t="s">
        <v>143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</row>
    <row r="57" spans="1:52" x14ac:dyDescent="0.3">
      <c r="A57" s="3"/>
      <c r="B57" s="28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</row>
    <row r="58" spans="1:52" x14ac:dyDescent="0.3">
      <c r="A58" s="3"/>
      <c r="B58" s="28" t="s">
        <v>144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</row>
    <row r="59" spans="1:52" x14ac:dyDescent="0.3">
      <c r="A59" s="3"/>
      <c r="B59" s="28" t="s">
        <v>145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</row>
    <row r="60" spans="1:52" x14ac:dyDescent="0.3">
      <c r="A60" s="3"/>
      <c r="B60" s="28" t="s">
        <v>146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</row>
    <row r="61" spans="1:52" x14ac:dyDescent="0.3">
      <c r="A61" s="3"/>
      <c r="B61" s="28" t="s">
        <v>147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</row>
    <row r="62" spans="1:52" x14ac:dyDescent="0.3">
      <c r="A62" s="3"/>
      <c r="B62" s="28" t="s">
        <v>148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</row>
    <row r="63" spans="1:52" x14ac:dyDescent="0.3">
      <c r="A63" s="3"/>
      <c r="B63" s="2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</row>
    <row r="64" spans="1:52" x14ac:dyDescent="0.3">
      <c r="A64" s="3"/>
      <c r="B64" s="28" t="s">
        <v>149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</row>
    <row r="65" spans="1:52" x14ac:dyDescent="0.3">
      <c r="A65" s="3"/>
      <c r="B65" s="2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</row>
    <row r="66" spans="1:52" x14ac:dyDescent="0.3">
      <c r="A66" s="3"/>
      <c r="B66" s="28" t="s">
        <v>150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</row>
    <row r="67" spans="1:52" x14ac:dyDescent="0.3">
      <c r="A67" s="3"/>
      <c r="B67" s="2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</row>
    <row r="68" spans="1:52" x14ac:dyDescent="0.3">
      <c r="A68" s="3"/>
      <c r="B68" s="28" t="s">
        <v>151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</row>
    <row r="69" spans="1:52" x14ac:dyDescent="0.3">
      <c r="A69" s="3"/>
      <c r="B69" s="28" t="s">
        <v>152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</row>
    <row r="70" spans="1:52" x14ac:dyDescent="0.3">
      <c r="A70" s="3"/>
      <c r="B70" s="28" t="s">
        <v>153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</row>
    <row r="71" spans="1:52" x14ac:dyDescent="0.3">
      <c r="A71" s="3"/>
      <c r="B71" s="28" t="s">
        <v>154</v>
      </c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</row>
    <row r="72" spans="1:52" x14ac:dyDescent="0.3">
      <c r="A72" s="3"/>
      <c r="B72" s="28" t="s">
        <v>155</v>
      </c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</row>
    <row r="73" spans="1:52" x14ac:dyDescent="0.3">
      <c r="A73" s="3"/>
      <c r="B73" s="28" t="s">
        <v>156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</row>
    <row r="74" spans="1:52" x14ac:dyDescent="0.3">
      <c r="A74" s="3"/>
      <c r="B74" s="2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</row>
    <row r="75" spans="1:52" x14ac:dyDescent="0.3">
      <c r="A75" s="3"/>
      <c r="B75" s="28" t="s">
        <v>157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</row>
    <row r="76" spans="1:52" x14ac:dyDescent="0.3">
      <c r="A76" s="3"/>
      <c r="B76" s="2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</row>
    <row r="77" spans="1:52" x14ac:dyDescent="0.3">
      <c r="A77" s="3"/>
      <c r="B77" s="28" t="s">
        <v>158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</row>
    <row r="78" spans="1:52" x14ac:dyDescent="0.3">
      <c r="A78" s="3"/>
      <c r="B78" s="2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</row>
    <row r="79" spans="1:52" x14ac:dyDescent="0.3">
      <c r="A79" s="3"/>
      <c r="B79" s="28" t="s">
        <v>159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</row>
    <row r="80" spans="1:52" x14ac:dyDescent="0.3">
      <c r="A80" s="3"/>
      <c r="B80" s="28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</row>
    <row r="81" spans="1:52" x14ac:dyDescent="0.3">
      <c r="A81" s="3"/>
      <c r="B81" s="28" t="s">
        <v>160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</row>
    <row r="82" spans="1:52" x14ac:dyDescent="0.3">
      <c r="A82" s="3"/>
      <c r="B82" s="28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</row>
    <row r="83" spans="1:52" x14ac:dyDescent="0.3">
      <c r="A83" s="3"/>
      <c r="B83" s="28" t="s">
        <v>161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</row>
    <row r="84" spans="1:52" x14ac:dyDescent="0.3">
      <c r="A84" s="3"/>
      <c r="B84" s="28" t="s">
        <v>162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</row>
    <row r="85" spans="1:52" x14ac:dyDescent="0.3">
      <c r="A85" s="3"/>
      <c r="B85" s="28" t="s">
        <v>163</v>
      </c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</row>
    <row r="86" spans="1:52" x14ac:dyDescent="0.3">
      <c r="A86" s="3"/>
      <c r="B86" s="28" t="s">
        <v>164</v>
      </c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</row>
    <row r="87" spans="1:52" x14ac:dyDescent="0.3">
      <c r="A87" s="3"/>
      <c r="B87" s="28" t="s">
        <v>165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</row>
    <row r="88" spans="1:52" x14ac:dyDescent="0.3">
      <c r="A88" s="3"/>
      <c r="B88" s="28" t="s">
        <v>166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</row>
    <row r="89" spans="1:52" x14ac:dyDescent="0.3">
      <c r="A89" s="3"/>
      <c r="B89" s="28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</row>
    <row r="90" spans="1:52" x14ac:dyDescent="0.3">
      <c r="A90" s="3"/>
      <c r="B90" s="28" t="s">
        <v>167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</row>
    <row r="91" spans="1:52" x14ac:dyDescent="0.3">
      <c r="A91" s="3"/>
      <c r="B91" s="28" t="s">
        <v>168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</row>
    <row r="92" spans="1:52" x14ac:dyDescent="0.3">
      <c r="A92" s="3"/>
      <c r="B92" s="28" t="s">
        <v>169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</row>
    <row r="93" spans="1:52" ht="27.6" x14ac:dyDescent="0.3">
      <c r="A93" s="3"/>
      <c r="B93" s="28" t="s">
        <v>170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</row>
    <row r="94" spans="1:52" ht="27.6" x14ac:dyDescent="0.3">
      <c r="A94" s="3"/>
      <c r="B94" s="28" t="s">
        <v>171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</row>
    <row r="95" spans="1:52" x14ac:dyDescent="0.3">
      <c r="A95" s="3"/>
      <c r="B95" s="28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</row>
    <row r="96" spans="1:52" x14ac:dyDescent="0.3">
      <c r="A96" s="3"/>
      <c r="B96" s="28" t="s">
        <v>172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</row>
    <row r="97" spans="1:52" x14ac:dyDescent="0.3">
      <c r="A97" s="3"/>
      <c r="B97" s="28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</row>
    <row r="98" spans="1:52" x14ac:dyDescent="0.3">
      <c r="A98" s="3"/>
      <c r="B98" s="28" t="s">
        <v>173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</row>
    <row r="99" spans="1:52" x14ac:dyDescent="0.3">
      <c r="A99" s="3"/>
      <c r="B99" s="28" t="s">
        <v>174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</row>
    <row r="100" spans="1:52" ht="27.6" x14ac:dyDescent="0.3">
      <c r="A100" s="3"/>
      <c r="B100" s="28" t="s">
        <v>175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</row>
    <row r="101" spans="1:52" x14ac:dyDescent="0.3">
      <c r="A101" s="3"/>
      <c r="B101" s="28" t="s">
        <v>176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</row>
    <row r="102" spans="1:52" x14ac:dyDescent="0.3">
      <c r="A102" s="3"/>
      <c r="B102" s="28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</row>
    <row r="103" spans="1:52" x14ac:dyDescent="0.3">
      <c r="A103" s="3"/>
      <c r="B103" s="28" t="s">
        <v>177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</row>
    <row r="104" spans="1:52" x14ac:dyDescent="0.3">
      <c r="A104" s="3"/>
      <c r="B104" s="28" t="s">
        <v>178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</row>
    <row r="105" spans="1:52" x14ac:dyDescent="0.3">
      <c r="A105" s="3"/>
      <c r="B105" s="28" t="s">
        <v>179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</row>
    <row r="106" spans="1:52" x14ac:dyDescent="0.3">
      <c r="A106" s="3"/>
      <c r="B106" s="28" t="s">
        <v>180</v>
      </c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</row>
    <row r="107" spans="1:52" x14ac:dyDescent="0.3">
      <c r="A107" s="3"/>
      <c r="B107" s="28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</row>
    <row r="108" spans="1:52" ht="41.4" x14ac:dyDescent="0.3">
      <c r="A108" s="3"/>
      <c r="B108" s="28" t="s">
        <v>181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</row>
    <row r="109" spans="1:52" x14ac:dyDescent="0.3">
      <c r="A109" s="3"/>
      <c r="B109" s="28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</row>
    <row r="110" spans="1:52" x14ac:dyDescent="0.3">
      <c r="A110" s="3"/>
      <c r="B110" s="28" t="s">
        <v>182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</row>
    <row r="111" spans="1:52" x14ac:dyDescent="0.3">
      <c r="A111" s="3"/>
      <c r="B111" s="28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</row>
    <row r="112" spans="1:52" x14ac:dyDescent="0.3">
      <c r="A112" s="3"/>
      <c r="B112" s="28" t="s">
        <v>183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</row>
    <row r="113" spans="1:52" x14ac:dyDescent="0.3">
      <c r="A113" s="3"/>
      <c r="B113" s="28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</row>
    <row r="114" spans="1:52" x14ac:dyDescent="0.3">
      <c r="A114" s="3"/>
      <c r="B114" s="28" t="s">
        <v>184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</row>
    <row r="115" spans="1:52" x14ac:dyDescent="0.3">
      <c r="A115" s="3"/>
      <c r="B115" s="28" t="s">
        <v>185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</row>
    <row r="116" spans="1:52" x14ac:dyDescent="0.3">
      <c r="A116" s="3"/>
      <c r="B116" s="28" t="s">
        <v>186</v>
      </c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</row>
    <row r="117" spans="1:52" x14ac:dyDescent="0.3">
      <c r="A117" s="3"/>
      <c r="B117" s="28" t="s">
        <v>187</v>
      </c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</row>
    <row r="118" spans="1:52" x14ac:dyDescent="0.3">
      <c r="A118" s="3"/>
      <c r="B118" s="28" t="s">
        <v>188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</row>
    <row r="119" spans="1:52" x14ac:dyDescent="0.3">
      <c r="A119" s="3"/>
      <c r="B119" s="28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</row>
    <row r="120" spans="1:52" x14ac:dyDescent="0.3">
      <c r="A120" s="3"/>
      <c r="B120" s="28" t="s">
        <v>189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</row>
    <row r="121" spans="1:52" x14ac:dyDescent="0.3">
      <c r="A121" s="3"/>
      <c r="B121" s="28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</row>
    <row r="122" spans="1:52" ht="27.6" x14ac:dyDescent="0.3">
      <c r="A122" s="3"/>
      <c r="B122" s="28" t="s">
        <v>190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</row>
    <row r="123" spans="1:52" x14ac:dyDescent="0.3">
      <c r="A123" s="3"/>
      <c r="B123" s="28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</row>
    <row r="124" spans="1:52" x14ac:dyDescent="0.3">
      <c r="A124" s="3"/>
      <c r="B124" s="28" t="s">
        <v>191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</row>
    <row r="125" spans="1:52" x14ac:dyDescent="0.3">
      <c r="A125" s="3"/>
      <c r="B125" s="28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</row>
    <row r="126" spans="1:52" x14ac:dyDescent="0.3">
      <c r="A126" s="3"/>
      <c r="B126" s="28" t="s">
        <v>192</v>
      </c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</row>
    <row r="127" spans="1:52" x14ac:dyDescent="0.3">
      <c r="A127" s="3"/>
      <c r="B127" s="28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</row>
    <row r="128" spans="1:52" x14ac:dyDescent="0.3">
      <c r="A128" s="3"/>
      <c r="B128" s="28" t="s">
        <v>193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</row>
    <row r="129" spans="1:52" x14ac:dyDescent="0.3">
      <c r="A129" s="3"/>
      <c r="B129" s="28" t="s">
        <v>194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</row>
    <row r="130" spans="1:52" x14ac:dyDescent="0.3">
      <c r="A130" s="3"/>
      <c r="B130" s="28" t="s">
        <v>195</v>
      </c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</row>
    <row r="131" spans="1:52" x14ac:dyDescent="0.3">
      <c r="A131" s="3"/>
      <c r="B131" s="28" t="s">
        <v>196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</row>
    <row r="132" spans="1:52" x14ac:dyDescent="0.3">
      <c r="A132" s="3"/>
      <c r="B132" s="28" t="s">
        <v>197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</row>
    <row r="133" spans="1:52" x14ac:dyDescent="0.3">
      <c r="A133" s="3"/>
      <c r="B133" s="28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</row>
    <row r="134" spans="1:52" x14ac:dyDescent="0.3">
      <c r="A134" s="3"/>
      <c r="B134" s="28" t="s">
        <v>198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</row>
    <row r="135" spans="1:52" x14ac:dyDescent="0.3">
      <c r="A135" s="3"/>
      <c r="B135" s="28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</row>
    <row r="136" spans="1:52" x14ac:dyDescent="0.3">
      <c r="A136" s="3"/>
      <c r="B136" s="28" t="s">
        <v>199</v>
      </c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</row>
    <row r="137" spans="1:52" x14ac:dyDescent="0.3">
      <c r="A137" s="3"/>
      <c r="B137" s="28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</row>
    <row r="138" spans="1:52" x14ac:dyDescent="0.3">
      <c r="A138" s="3"/>
      <c r="B138" s="28" t="s">
        <v>200</v>
      </c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</row>
    <row r="139" spans="1:52" x14ac:dyDescent="0.3">
      <c r="A139" s="3"/>
      <c r="B139" s="28" t="s">
        <v>201</v>
      </c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</row>
    <row r="140" spans="1:52" x14ac:dyDescent="0.3">
      <c r="A140" s="3"/>
      <c r="B140" s="28" t="s">
        <v>202</v>
      </c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</row>
    <row r="141" spans="1:52" x14ac:dyDescent="0.3">
      <c r="A141" s="3"/>
      <c r="B141" s="28" t="s">
        <v>203</v>
      </c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</row>
    <row r="142" spans="1:52" x14ac:dyDescent="0.3">
      <c r="A142" s="3"/>
      <c r="B142" s="28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</row>
    <row r="143" spans="1:52" ht="27.6" x14ac:dyDescent="0.3">
      <c r="A143" s="3"/>
      <c r="B143" s="28" t="s">
        <v>204</v>
      </c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</row>
    <row r="144" spans="1:52" x14ac:dyDescent="0.3">
      <c r="A144" s="3"/>
      <c r="B144" s="28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</row>
    <row r="145" spans="1:52" ht="27.6" x14ac:dyDescent="0.3">
      <c r="A145" s="3"/>
      <c r="B145" s="28" t="s">
        <v>205</v>
      </c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</row>
    <row r="146" spans="1:52" x14ac:dyDescent="0.3">
      <c r="A146" s="3"/>
      <c r="B146" s="28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</row>
    <row r="147" spans="1:52" x14ac:dyDescent="0.3">
      <c r="A147" s="3"/>
      <c r="B147" s="28" t="s">
        <v>206</v>
      </c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</row>
    <row r="148" spans="1:52" x14ac:dyDescent="0.3">
      <c r="A148" s="3"/>
      <c r="B148" s="28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</row>
    <row r="149" spans="1:52" ht="27.6" x14ac:dyDescent="0.3">
      <c r="A149" s="3"/>
      <c r="B149" s="28" t="s">
        <v>207</v>
      </c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</row>
    <row r="150" spans="1:52" x14ac:dyDescent="0.3">
      <c r="A150" s="3"/>
      <c r="B150" s="28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</row>
    <row r="151" spans="1:52" x14ac:dyDescent="0.3">
      <c r="A151" s="3"/>
      <c r="B151" s="28" t="s">
        <v>208</v>
      </c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</row>
    <row r="152" spans="1:52" x14ac:dyDescent="0.3">
      <c r="A152" s="3"/>
      <c r="B152" s="28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</row>
    <row r="153" spans="1:52" x14ac:dyDescent="0.3">
      <c r="A153" s="3"/>
      <c r="B153" s="28" t="s">
        <v>209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</row>
    <row r="154" spans="1:52" x14ac:dyDescent="0.3">
      <c r="A154" s="3"/>
      <c r="B154" s="28" t="s">
        <v>210</v>
      </c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</row>
    <row r="155" spans="1:52" x14ac:dyDescent="0.3">
      <c r="A155" s="3"/>
      <c r="B155" s="28" t="s">
        <v>211</v>
      </c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</row>
    <row r="156" spans="1:52" x14ac:dyDescent="0.3">
      <c r="A156" s="3"/>
      <c r="B156" s="28" t="s">
        <v>212</v>
      </c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</row>
    <row r="157" spans="1:52" x14ac:dyDescent="0.3">
      <c r="A157" s="3"/>
      <c r="B157" s="28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</row>
    <row r="158" spans="1:52" x14ac:dyDescent="0.3">
      <c r="A158" s="3"/>
      <c r="B158" s="28" t="s">
        <v>213</v>
      </c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</row>
    <row r="159" spans="1:52" x14ac:dyDescent="0.3">
      <c r="A159" s="3"/>
      <c r="B159" s="28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</row>
    <row r="160" spans="1:52" x14ac:dyDescent="0.3">
      <c r="A160" s="3"/>
      <c r="B160" s="28" t="s">
        <v>214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</row>
    <row r="161" spans="1:52" x14ac:dyDescent="0.3">
      <c r="A161" s="3"/>
      <c r="B161" s="28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</row>
    <row r="162" spans="1:52" ht="27.6" x14ac:dyDescent="0.3">
      <c r="A162" s="3"/>
      <c r="B162" s="28" t="s">
        <v>215</v>
      </c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</row>
    <row r="163" spans="1:52" x14ac:dyDescent="0.3">
      <c r="A163" s="3"/>
      <c r="B163" s="28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</row>
    <row r="164" spans="1:52" x14ac:dyDescent="0.3">
      <c r="A164" s="3"/>
      <c r="B164" s="28" t="s">
        <v>216</v>
      </c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</row>
    <row r="165" spans="1:52" x14ac:dyDescent="0.3">
      <c r="A165" s="3"/>
      <c r="B165" s="28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</row>
    <row r="166" spans="1:52" ht="27.6" x14ac:dyDescent="0.3">
      <c r="A166" s="3"/>
      <c r="B166" s="28" t="s">
        <v>217</v>
      </c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</row>
    <row r="167" spans="1:52" x14ac:dyDescent="0.3">
      <c r="A167" s="3"/>
      <c r="B167" s="28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</row>
    <row r="168" spans="1:52" x14ac:dyDescent="0.3">
      <c r="A168" s="3"/>
      <c r="B168" s="28" t="s">
        <v>218</v>
      </c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</row>
    <row r="169" spans="1:52" ht="27.6" x14ac:dyDescent="0.3">
      <c r="A169" s="3"/>
      <c r="B169" s="28" t="s">
        <v>219</v>
      </c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</row>
    <row r="170" spans="1:52" ht="27.6" x14ac:dyDescent="0.3">
      <c r="A170" s="3"/>
      <c r="B170" s="28" t="s">
        <v>220</v>
      </c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</row>
    <row r="171" spans="1:52" x14ac:dyDescent="0.3">
      <c r="A171" s="3"/>
      <c r="B171" s="28" t="s">
        <v>221</v>
      </c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</row>
    <row r="172" spans="1:52" ht="27.6" x14ac:dyDescent="0.3">
      <c r="A172" s="3"/>
      <c r="B172" s="28" t="s">
        <v>222</v>
      </c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</row>
    <row r="173" spans="1:52" ht="27.6" x14ac:dyDescent="0.3">
      <c r="A173" s="3"/>
      <c r="B173" s="28" t="s">
        <v>223</v>
      </c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</row>
    <row r="174" spans="1:52" ht="41.4" x14ac:dyDescent="0.3">
      <c r="A174" s="3"/>
      <c r="B174" s="28" t="s">
        <v>224</v>
      </c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</row>
    <row r="175" spans="1:52" x14ac:dyDescent="0.3">
      <c r="A175" s="3"/>
      <c r="B175" s="28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</row>
    <row r="176" spans="1:52" x14ac:dyDescent="0.3">
      <c r="A176" s="3"/>
      <c r="B176" s="28" t="s">
        <v>225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</row>
    <row r="177" spans="1:52" x14ac:dyDescent="0.3">
      <c r="A177" s="3"/>
      <c r="B177" s="28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</row>
    <row r="178" spans="1:52" x14ac:dyDescent="0.3">
      <c r="A178" s="3"/>
      <c r="B178" s="28" t="s">
        <v>226</v>
      </c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</row>
    <row r="179" spans="1:52" x14ac:dyDescent="0.3">
      <c r="A179" s="3"/>
      <c r="B179" s="28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</row>
    <row r="180" spans="1:52" x14ac:dyDescent="0.3">
      <c r="A180" s="3"/>
      <c r="B180" s="28" t="s">
        <v>227</v>
      </c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</row>
    <row r="181" spans="1:52" x14ac:dyDescent="0.3">
      <c r="A181" s="3"/>
      <c r="B181" s="28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</row>
    <row r="182" spans="1:52" ht="27.6" x14ac:dyDescent="0.3">
      <c r="A182" s="3"/>
      <c r="B182" s="28" t="s">
        <v>228</v>
      </c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</row>
    <row r="183" spans="1:52" x14ac:dyDescent="0.3">
      <c r="A183" s="3"/>
      <c r="B183" s="28" t="s">
        <v>229</v>
      </c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</row>
    <row r="184" spans="1:52" x14ac:dyDescent="0.3">
      <c r="A184" s="3"/>
      <c r="B184" s="28" t="s">
        <v>230</v>
      </c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</row>
    <row r="185" spans="1:52" x14ac:dyDescent="0.3">
      <c r="A185" s="3"/>
      <c r="B185" s="28" t="s">
        <v>231</v>
      </c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</row>
    <row r="186" spans="1:52" x14ac:dyDescent="0.3">
      <c r="A186" s="3"/>
      <c r="B186" s="28" t="s">
        <v>232</v>
      </c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</row>
    <row r="187" spans="1:52" x14ac:dyDescent="0.3">
      <c r="A187" s="3"/>
      <c r="B187" s="28" t="s">
        <v>233</v>
      </c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</row>
    <row r="188" spans="1:52" x14ac:dyDescent="0.3">
      <c r="A188" s="3"/>
      <c r="B188" s="28" t="s">
        <v>234</v>
      </c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</row>
    <row r="189" spans="1:52" x14ac:dyDescent="0.3">
      <c r="A189" s="3"/>
      <c r="B189" s="28" t="s">
        <v>235</v>
      </c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</row>
    <row r="190" spans="1:52" x14ac:dyDescent="0.3">
      <c r="A190" s="3"/>
      <c r="B190" s="28" t="s">
        <v>236</v>
      </c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</row>
    <row r="191" spans="1:52" x14ac:dyDescent="0.3">
      <c r="A191" s="3"/>
      <c r="B191" s="28" t="s">
        <v>237</v>
      </c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</row>
    <row r="192" spans="1:52" x14ac:dyDescent="0.3">
      <c r="A192" s="3"/>
      <c r="B192" s="28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</row>
    <row r="193" spans="1:52" x14ac:dyDescent="0.3">
      <c r="A193" s="3"/>
      <c r="B193" s="28" t="s">
        <v>238</v>
      </c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1:52" x14ac:dyDescent="0.3">
      <c r="A194" s="3"/>
      <c r="B194" s="28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</row>
    <row r="195" spans="1:52" x14ac:dyDescent="0.3">
      <c r="A195" s="3"/>
      <c r="B195" s="28" t="s">
        <v>239</v>
      </c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</row>
    <row r="196" spans="1:52" x14ac:dyDescent="0.3">
      <c r="A196" s="3"/>
      <c r="B196" s="28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</row>
    <row r="197" spans="1:52" ht="41.4" x14ac:dyDescent="0.3">
      <c r="A197" s="3"/>
      <c r="B197" s="28" t="s">
        <v>240</v>
      </c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</row>
    <row r="198" spans="1:52" ht="41.4" x14ac:dyDescent="0.3">
      <c r="A198" s="3"/>
      <c r="B198" s="28" t="s">
        <v>241</v>
      </c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</row>
    <row r="199" spans="1:52" x14ac:dyDescent="0.3">
      <c r="A199" s="3"/>
      <c r="B199" s="28" t="s">
        <v>242</v>
      </c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</row>
    <row r="200" spans="1:52" ht="27.6" x14ac:dyDescent="0.3">
      <c r="A200" s="3"/>
      <c r="B200" s="28" t="s">
        <v>243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</row>
    <row r="201" spans="1:52" x14ac:dyDescent="0.3">
      <c r="A201" s="3"/>
      <c r="B201" s="28" t="s">
        <v>244</v>
      </c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</row>
    <row r="202" spans="1:52" x14ac:dyDescent="0.3">
      <c r="A202" s="3"/>
      <c r="B202" s="28" t="s">
        <v>245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</row>
    <row r="203" spans="1:52" x14ac:dyDescent="0.3">
      <c r="A203" s="3"/>
      <c r="B203" s="28" t="s">
        <v>246</v>
      </c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</row>
    <row r="204" spans="1:52" ht="69" x14ac:dyDescent="0.3">
      <c r="A204" s="3"/>
      <c r="B204" s="28" t="s">
        <v>308</v>
      </c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</row>
    <row r="205" spans="1:52" x14ac:dyDescent="0.3">
      <c r="A205" s="3"/>
      <c r="B205" s="28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</row>
    <row r="206" spans="1:52" x14ac:dyDescent="0.3">
      <c r="A206" s="3"/>
      <c r="B206" s="28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</row>
    <row r="207" spans="1:52" x14ac:dyDescent="0.3">
      <c r="A207" s="3"/>
      <c r="B207" s="28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</row>
    <row r="208" spans="1:52" x14ac:dyDescent="0.3">
      <c r="A208" s="3"/>
      <c r="B208" s="28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</row>
    <row r="209" spans="1:52" x14ac:dyDescent="0.3">
      <c r="A209" s="3"/>
      <c r="B209" s="28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</row>
    <row r="210" spans="1:52" x14ac:dyDescent="0.3">
      <c r="A210" s="3"/>
      <c r="B210" s="28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</row>
    <row r="211" spans="1:52" x14ac:dyDescent="0.3">
      <c r="A211" s="3"/>
      <c r="B211" s="28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</row>
    <row r="212" spans="1:52" x14ac:dyDescent="0.3">
      <c r="A212" s="3"/>
      <c r="B212" s="28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</row>
    <row r="213" spans="1:52" x14ac:dyDescent="0.3">
      <c r="A213" s="3"/>
      <c r="B213" s="28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</row>
    <row r="214" spans="1:52" x14ac:dyDescent="0.3">
      <c r="A214" s="3"/>
      <c r="B214" s="28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</row>
    <row r="215" spans="1:52" x14ac:dyDescent="0.3">
      <c r="A215" s="3"/>
      <c r="B215" s="28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</row>
    <row r="216" spans="1:52" x14ac:dyDescent="0.3">
      <c r="A216" s="3"/>
      <c r="B216" s="3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</row>
    <row r="217" spans="1:52" x14ac:dyDescent="0.3">
      <c r="A217" s="3"/>
      <c r="B217" s="3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</row>
    <row r="218" spans="1:52" x14ac:dyDescent="0.3">
      <c r="A218" s="3"/>
      <c r="B218" s="3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</row>
    <row r="219" spans="1:52" x14ac:dyDescent="0.3">
      <c r="A219" s="3"/>
      <c r="B219" s="3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</row>
    <row r="220" spans="1:52" x14ac:dyDescent="0.3">
      <c r="A220" s="3"/>
      <c r="B220" s="3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</row>
    <row r="221" spans="1:52" x14ac:dyDescent="0.3">
      <c r="A221" s="3"/>
      <c r="B221" s="3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</row>
    <row r="222" spans="1:52" x14ac:dyDescent="0.3">
      <c r="A222" s="3"/>
      <c r="B222" s="3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</row>
    <row r="223" spans="1:52" x14ac:dyDescent="0.3">
      <c r="A223" s="3"/>
      <c r="B223" s="3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</row>
    <row r="224" spans="1:52" x14ac:dyDescent="0.3">
      <c r="A224" s="3"/>
      <c r="B224" s="3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</row>
    <row r="225" spans="1:52" x14ac:dyDescent="0.3">
      <c r="A225" s="3"/>
      <c r="B225" s="3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</row>
    <row r="226" spans="1:52" x14ac:dyDescent="0.3">
      <c r="A226" s="3"/>
      <c r="B226" s="3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</row>
    <row r="227" spans="1:52" x14ac:dyDescent="0.3">
      <c r="A227" s="3"/>
      <c r="B227" s="3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</row>
    <row r="228" spans="1:52" x14ac:dyDescent="0.3">
      <c r="A228" s="3"/>
      <c r="B228" s="3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</row>
    <row r="229" spans="1:52" x14ac:dyDescent="0.3">
      <c r="A229" s="3"/>
      <c r="B229" s="3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</row>
    <row r="230" spans="1:52" x14ac:dyDescent="0.3">
      <c r="A230" s="3"/>
      <c r="B230" s="3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</row>
    <row r="231" spans="1:52" x14ac:dyDescent="0.3">
      <c r="A231" s="3"/>
      <c r="B231" s="3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</row>
    <row r="232" spans="1:52" x14ac:dyDescent="0.3">
      <c r="A232" s="3"/>
      <c r="B232" s="3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</row>
    <row r="233" spans="1:52" x14ac:dyDescent="0.3">
      <c r="A233" s="3"/>
      <c r="B233" s="3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</row>
    <row r="234" spans="1:52" x14ac:dyDescent="0.3">
      <c r="A234" s="3"/>
      <c r="B234" s="3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</row>
    <row r="235" spans="1:52" x14ac:dyDescent="0.3">
      <c r="A235" s="3"/>
      <c r="B235" s="3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</row>
    <row r="236" spans="1:52" x14ac:dyDescent="0.3">
      <c r="A236" s="3"/>
      <c r="B236" s="3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</row>
    <row r="237" spans="1:52" x14ac:dyDescent="0.3">
      <c r="A237" s="3"/>
      <c r="B237" s="3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</row>
    <row r="238" spans="1:52" x14ac:dyDescent="0.3">
      <c r="A238" s="3"/>
      <c r="B238" s="3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</row>
    <row r="239" spans="1:52" x14ac:dyDescent="0.3">
      <c r="A239" s="3"/>
      <c r="B239" s="3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</row>
    <row r="240" spans="1:52" x14ac:dyDescent="0.3">
      <c r="A240" s="3"/>
      <c r="B240" s="3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</row>
    <row r="241" spans="1:52" x14ac:dyDescent="0.3">
      <c r="A241" s="3"/>
      <c r="B241" s="3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</row>
    <row r="242" spans="1:52" x14ac:dyDescent="0.3">
      <c r="A242" s="3"/>
      <c r="B242" s="3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</row>
    <row r="243" spans="1:52" x14ac:dyDescent="0.3">
      <c r="A243" s="3"/>
      <c r="B243" s="3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</row>
    <row r="244" spans="1:52" x14ac:dyDescent="0.3">
      <c r="A244" s="3"/>
      <c r="B244" s="3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</row>
    <row r="245" spans="1:52" x14ac:dyDescent="0.3">
      <c r="A245" s="3"/>
      <c r="B245" s="3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</row>
    <row r="246" spans="1:52" x14ac:dyDescent="0.3">
      <c r="A246" s="3"/>
      <c r="B246" s="3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</row>
    <row r="247" spans="1:52" x14ac:dyDescent="0.3">
      <c r="A247" s="3"/>
      <c r="B247" s="3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</row>
    <row r="248" spans="1:52" x14ac:dyDescent="0.3">
      <c r="A248" s="3"/>
      <c r="B248" s="3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</row>
    <row r="249" spans="1:52" x14ac:dyDescent="0.3">
      <c r="A249" s="3"/>
      <c r="B249" s="3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</row>
    <row r="250" spans="1:52" x14ac:dyDescent="0.3">
      <c r="A250" s="3"/>
      <c r="B250" s="3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</row>
    <row r="251" spans="1:52" x14ac:dyDescent="0.3">
      <c r="A251" s="3"/>
      <c r="B251" s="3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</row>
    <row r="252" spans="1:52" x14ac:dyDescent="0.3">
      <c r="A252" s="3"/>
      <c r="B252" s="3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</row>
    <row r="253" spans="1:52" x14ac:dyDescent="0.3">
      <c r="A253" s="3"/>
      <c r="B253" s="3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</row>
    <row r="254" spans="1:52" x14ac:dyDescent="0.3">
      <c r="A254" s="3"/>
      <c r="B254" s="3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</row>
    <row r="255" spans="1:52" x14ac:dyDescent="0.3">
      <c r="A255" s="3"/>
      <c r="B255" s="3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</row>
    <row r="256" spans="1:52" x14ac:dyDescent="0.3">
      <c r="A256" s="3"/>
      <c r="B256" s="3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</row>
    <row r="257" spans="1:52" x14ac:dyDescent="0.3">
      <c r="A257" s="3"/>
      <c r="B257" s="3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</row>
    <row r="258" spans="1:52" x14ac:dyDescent="0.3">
      <c r="A258" s="3"/>
      <c r="B258" s="3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</row>
    <row r="259" spans="1:52" x14ac:dyDescent="0.3">
      <c r="A259" s="3"/>
      <c r="B259" s="3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</row>
    <row r="260" spans="1:52" x14ac:dyDescent="0.3">
      <c r="A260" s="3"/>
      <c r="B260" s="3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</row>
    <row r="261" spans="1:52" x14ac:dyDescent="0.3">
      <c r="A261" s="1"/>
      <c r="B261" s="1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3">
      <c r="A262" s="1"/>
      <c r="B262" s="1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3">
      <c r="A263" s="1"/>
      <c r="B263" s="1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3">
      <c r="A264" s="1"/>
      <c r="B264" s="1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3">
      <c r="A265" s="1"/>
      <c r="B265" s="1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3">
      <c r="A266" s="1"/>
      <c r="B266" s="1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3">
      <c r="A267" s="1"/>
      <c r="B267" s="1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3">
      <c r="A268" s="1"/>
      <c r="B268" s="1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3">
      <c r="A269" s="1"/>
      <c r="B269" s="1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3">
      <c r="A270" s="1"/>
      <c r="B270" s="1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3">
      <c r="A271" s="1"/>
      <c r="B271" s="1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3">
      <c r="A272" s="1"/>
      <c r="B272" s="1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3">
      <c r="A273" s="1"/>
      <c r="B273" s="1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3">
      <c r="A274" s="1"/>
      <c r="B274" s="1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3">
      <c r="A275" s="1"/>
      <c r="B275" s="1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3">
      <c r="A276" s="1"/>
      <c r="B276" s="1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3">
      <c r="A277" s="1"/>
      <c r="B277" s="1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3">
      <c r="A278" s="1"/>
      <c r="B278" s="1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3">
      <c r="A279" s="1"/>
      <c r="B279" s="1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3">
      <c r="A280" s="1"/>
      <c r="B280" s="1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3">
      <c r="A281" s="1"/>
      <c r="B281" s="1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3">
      <c r="A282" s="1"/>
      <c r="B282" s="1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3">
      <c r="A283" s="1"/>
      <c r="B283" s="1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3">
      <c r="A284" s="1"/>
      <c r="B284" s="1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3">
      <c r="A285" s="1"/>
      <c r="B285" s="1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3">
      <c r="A286" s="1"/>
      <c r="B286" s="1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3">
      <c r="A287" s="1"/>
      <c r="B287" s="1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3">
      <c r="A288" s="1"/>
      <c r="B288" s="1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3">
      <c r="A289" s="1"/>
      <c r="B289" s="1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3">
      <c r="A290" s="1"/>
      <c r="B290" s="1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3">
      <c r="A291" s="1"/>
      <c r="B291" s="1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3">
      <c r="A292" s="1"/>
      <c r="B292" s="1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3">
      <c r="A293" s="1"/>
      <c r="B293" s="1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3">
      <c r="A294" s="1"/>
      <c r="B294" s="1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3">
      <c r="A295" s="1"/>
      <c r="B295" s="1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3">
      <c r="A296" s="1"/>
      <c r="B296" s="1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3">
      <c r="A297" s="1"/>
      <c r="B297" s="1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3">
      <c r="A298" s="1"/>
      <c r="B298" s="1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3">
      <c r="A299" s="1"/>
      <c r="B299" s="1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3">
      <c r="A300" s="1"/>
      <c r="B300" s="1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</sheetData>
  <sheetProtection sheet="1" scenarios="1" sort="0" autoFilter="0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Instruções</vt:lpstr>
      <vt:lpstr>Simulador</vt:lpstr>
      <vt:lpstr>Cenários</vt:lpstr>
      <vt:lpstr>Prompt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 p antunes antunes</dc:creator>
  <cp:lastModifiedBy>jose a p antunes antunes</cp:lastModifiedBy>
  <dcterms:created xsi:type="dcterms:W3CDTF">2026-09-08T20:49:03Z</dcterms:created>
  <dcterms:modified xsi:type="dcterms:W3CDTF">2026-09-08T21:51:07Z</dcterms:modified>
</cp:coreProperties>
</file>