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B2A5DE1A-6F55-4A84-8DD5-A58B3DCE136E}" xr6:coauthVersionLast="47" xr6:coauthVersionMax="47" xr10:uidLastSave="{00000000-0000-0000-0000-000000000000}"/>
  <bookViews>
    <workbookView xWindow="-108" yWindow="-108" windowWidth="23256" windowHeight="12456" activeTab="1" xr2:uid="{78393D3E-8DF4-4E23-A830-CE99A3DFFB6D}"/>
  </bookViews>
  <sheets>
    <sheet name="Instruções" sheetId="2" r:id="rId1"/>
    <sheet name="Simulador" sheetId="3" r:id="rId2"/>
    <sheet name="Cenários" sheetId="4" r:id="rId3"/>
    <sheet name="Promp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23" i="5" l="1" a="1"/>
  <c r="B23" i="5" s="1"/>
  <c r="E27" i="4"/>
  <c r="E24" i="4"/>
  <c r="E21" i="4"/>
  <c r="D21" i="4"/>
  <c r="E20" i="4"/>
  <c r="D20" i="4"/>
  <c r="E17" i="4"/>
  <c r="D17" i="4"/>
  <c r="E16" i="4"/>
  <c r="D16" i="4"/>
  <c r="E13" i="4"/>
  <c r="D13" i="4"/>
  <c r="E12" i="4"/>
  <c r="D12" i="4"/>
  <c r="E9" i="4"/>
  <c r="D9" i="4"/>
  <c r="E8" i="4"/>
  <c r="D8" i="4"/>
  <c r="E7" i="4"/>
  <c r="D7" i="4"/>
  <c r="B75" i="3"/>
  <c r="J84" i="3"/>
  <c r="I84" i="3"/>
  <c r="J83" i="3"/>
  <c r="I83" i="3"/>
  <c r="J82" i="3"/>
  <c r="I82" i="3"/>
  <c r="J81" i="3"/>
  <c r="I81" i="3"/>
  <c r="J80" i="3"/>
  <c r="I80" i="3"/>
  <c r="J79" i="3"/>
  <c r="I79" i="3"/>
  <c r="J78" i="3"/>
  <c r="I78" i="3"/>
  <c r="J77" i="3"/>
  <c r="I77" i="3"/>
  <c r="J76" i="3"/>
  <c r="I76" i="3"/>
  <c r="J75" i="3"/>
  <c r="I75" i="3"/>
  <c r="J74" i="3"/>
  <c r="I74" i="3"/>
  <c r="J73" i="3"/>
  <c r="I73" i="3"/>
  <c r="H74" i="3"/>
  <c r="H75" i="3" s="1"/>
  <c r="H76" i="3" s="1"/>
  <c r="H77" i="3" s="1"/>
  <c r="H78" i="3" s="1"/>
  <c r="H79" i="3" s="1"/>
  <c r="H80" i="3" s="1"/>
  <c r="H81" i="3" s="1"/>
  <c r="H82" i="3" s="1"/>
  <c r="H83" i="3" s="1"/>
  <c r="H84" i="3" s="1"/>
  <c r="H73" i="3"/>
  <c r="J72" i="3"/>
  <c r="I72" i="3"/>
  <c r="C74" i="3"/>
  <c r="B69" i="3"/>
  <c r="F68" i="3"/>
  <c r="F67" i="3"/>
  <c r="F66" i="3"/>
  <c r="F64" i="3"/>
  <c r="E64" i="3"/>
  <c r="D64" i="3"/>
  <c r="C64" i="3"/>
  <c r="F63" i="3"/>
  <c r="E63" i="3"/>
  <c r="D63" i="3"/>
  <c r="C63" i="3"/>
  <c r="G62" i="3"/>
  <c r="F62" i="3"/>
  <c r="F61" i="3"/>
  <c r="F60" i="3"/>
  <c r="C59" i="3" s="1"/>
  <c r="F58" i="3"/>
  <c r="E57" i="3"/>
  <c r="D57" i="3"/>
  <c r="C57" i="3"/>
  <c r="E56" i="3"/>
  <c r="D56" i="3"/>
  <c r="C56" i="3"/>
  <c r="D48" i="3"/>
  <c r="B50" i="3"/>
  <c r="C49" i="3"/>
  <c r="C48" i="3"/>
  <c r="C47" i="3"/>
  <c r="C46" i="3"/>
  <c r="C45" i="3"/>
  <c r="C44" i="3"/>
  <c r="C43" i="3"/>
  <c r="C42" i="3"/>
  <c r="D19" i="3"/>
  <c r="B31" i="3"/>
  <c r="C30" i="3"/>
  <c r="C29" i="3"/>
  <c r="C28" i="3"/>
  <c r="C27" i="3"/>
  <c r="C23" i="3"/>
  <c r="C22" i="3"/>
  <c r="C21" i="3"/>
  <c r="C20" i="3"/>
  <c r="C19" i="3"/>
  <c r="B14" i="3"/>
  <c r="C13" i="3"/>
  <c r="C12" i="3"/>
  <c r="C11" i="3"/>
  <c r="E59" i="3" l="1"/>
  <c r="F59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<sst xmlns="http://schemas.openxmlformats.org/spreadsheetml/2006/main" count="196" uniqueCount="193">
  <si>
    <t>Simulador 9 · Imunização — casar antes de carregar</t>
  </si>
  <si>
    <t>Módulo 4 · Bloco 3 — células azuis são editáveis. Dados ilustrativos, sem recomendação de investimento.</t>
  </si>
  <si>
    <t>1 · REDINGTON E O GAP</t>
  </si>
  <si>
    <t>Valor do ativo (R$ mi)</t>
  </si>
  <si>
    <t>Duration do ativo — D_a (anos)</t>
  </si>
  <si>
    <t>Valor do passivo (R$ mi)</t>
  </si>
  <si>
    <t>Duration do passivo — D_p (anos)</t>
  </si>
  <si>
    <t>Duration-alvo do ativo:  D_alvo = D_p × (P/A)</t>
  </si>
  <si>
    <t>Gap de duration (anos):  D_a − D_alvo</t>
  </si>
  <si>
    <t>Gap de DV01 — versão de mesa (R$ mil/bp):  A×D_a×0,0001 − P×D_p×0,0001</t>
  </si>
  <si>
    <t>2 · REPONDERAR PARA IMUNIZAR (solver fechado)</t>
  </si>
  <si>
    <t>MD do instrumento curto (anos)</t>
  </si>
  <si>
    <t>MD do instrumento longo (anos)</t>
  </si>
  <si>
    <t>Peso do curto:  w = (MD_longo − D_alvo) / (MD_longo − MD_curto)</t>
  </si>
  <si>
    <t>Peso do longo:  1 − w</t>
  </si>
  <si>
    <t>Nova duration do ativo (anos)</t>
  </si>
  <si>
    <t>Gap de duration resultante (anos)</t>
  </si>
  <si>
    <t>Verificação</t>
  </si>
  <si>
    <t>Taxa do curto (% a.a.)</t>
  </si>
  <si>
    <t>Taxa do longo (% a.a.)</t>
  </si>
  <si>
    <t>Carrego da carteira reponderada (imunizada)</t>
  </si>
  <si>
    <t>Peso do curto que replica a carteira original (D_a atual)</t>
  </si>
  <si>
    <t>Carrego da carteira original</t>
  </si>
  <si>
    <t>Custo de imunizar (carrego reponderado − carrego original)</t>
  </si>
  <si>
    <t>3 · A FOTOGRAFIA ENVELHECE (deriva e banda de gap)</t>
  </si>
  <si>
    <t>Escolha didática: a deriva é aplicada à carteira REPONDERADA do bloco 2 — aquela que hoje tem gap ≈ 0. Assim o gap que aparece abaixo é puro envelhecimento da fotografia (roll-down + nível da taxa), não um gap que já existia.</t>
  </si>
  <si>
    <t>Taxa do vértice 252 du (% a.a.)</t>
  </si>
  <si>
    <t>Taxa do vértice 504 du (% a.a.)</t>
  </si>
  <si>
    <t>Taxa do vértice 1.008 du (% a.a.)</t>
  </si>
  <si>
    <t>Meses decorridos</t>
  </si>
  <si>
    <t>Choque de taxa acumulado (bps)</t>
  </si>
  <si>
    <t>Banda de gap (R$/bp)</t>
  </si>
  <si>
    <t>Prazo implícito do curto (anos) = MD × (1+y₂₅₂)</t>
  </si>
  <si>
    <t>Prazo implícito do longo (anos) = MD × (1+y₁₀₀₈)</t>
  </si>
  <si>
    <t>Prazo implícito do passivo (anos) = D_p × (1+y₂₅₂)</t>
  </si>
  <si>
    <t>MD do curto pós-deriva:  (t − meses/12) / (1+y+Δi), piso zero</t>
  </si>
  <si>
    <t>MD do longo pós-deriva</t>
  </si>
  <si>
    <t>MD do passivo pós-deriva</t>
  </si>
  <si>
    <t>Duration do ativo pós-deriva (pesos do bloco 2 mantidos)</t>
  </si>
  <si>
    <t>Gap de DV01 pós-deriva (R$/bp)</t>
  </si>
  <si>
    <t>Critério maduro é banda de gap, não calendário: quanto maior a convexidade descasada entre os lados, mais rápido a fotografia envelhece.</t>
  </si>
  <si>
    <t>4 · RACHADURA 1 AO VIVO — TORÇÃO COM GAP DE DURATION ZERO</t>
  </si>
  <si>
    <t>Estrutura fixa do caso: ativo bullet em 504 du contra passivo 'barbell' 252 + 1.008 du, com pesos do passivo calculados para igualar a duration do ativo.</t>
  </si>
  <si>
    <t>Vértice</t>
  </si>
  <si>
    <t>252 du</t>
  </si>
  <si>
    <t>504 du</t>
  </si>
  <si>
    <t>1.008 du</t>
  </si>
  <si>
    <t>Total</t>
  </si>
  <si>
    <t>Prazo (anos) = du / 252</t>
  </si>
  <si>
    <t>MD do vértice = t / (1+y)</t>
  </si>
  <si>
    <t>Ativo — bullet 504 (pesos)</t>
  </si>
  <si>
    <t>Passivo — barbell 252/1.008 (pesos que igualam a duration)</t>
  </si>
  <si>
    <t>MD do ativo (anos)</t>
  </si>
  <si>
    <t>MD do passivo (anos)</t>
  </si>
  <si>
    <t>Gap de duration (anos)</t>
  </si>
  <si>
    <t>DV01 do ativo por vértice (R$ mil/bp)</t>
  </si>
  <si>
    <t>DV01 do passivo por vértice (R$ mil/bp)</t>
  </si>
  <si>
    <t>Steepening 252×1.008 — choque por vértice (bps)</t>
  </si>
  <si>
    <t>ΔAtivo (R$ mil) = −Σ DV01 × Δi</t>
  </si>
  <si>
    <t>ΔPassivo (R$ mil)</t>
  </si>
  <si>
    <t>ΔPatrimônio (R$ mil) = ΔAtivo − ΔPassivo</t>
  </si>
  <si>
    <t>5 · RACHADURA 2 — O GAP DE CONVEXIDADE</t>
  </si>
  <si>
    <t>Convexidade do ativo — C_a</t>
  </si>
  <si>
    <t>Convexidade do passivo — C_p</t>
  </si>
  <si>
    <t>Gap de convexidade (C_a − C_p)</t>
  </si>
  <si>
    <t>ΔPatrimônio ≈ ½ · (C_a·A − C_p·P) · Δi² — a grade à direita alimenta o gráfico.</t>
  </si>
  <si>
    <t>Choque paralelo (bps)</t>
  </si>
  <si>
    <t>C_a &gt; C_p (sorriso)</t>
  </si>
  <si>
    <t>C_a &lt; C_p (careta)</t>
  </si>
  <si>
    <t>6 · CASHFLOW MATCHING × DURATION MATCHING</t>
  </si>
  <si>
    <t>Critério</t>
  </si>
  <si>
    <t>Cashflow matching</t>
  </si>
  <si>
    <t>Duration matching</t>
  </si>
  <si>
    <t>O que elimina</t>
  </si>
  <si>
    <t>Elimina o risco de reinvestimento e de preço: cada fluxo do passivo tem um fluxo do ativo do outro lado.</t>
  </si>
  <si>
    <t>Elimina (aproximadamente) o efeito de um choque paralelo sobre o patrimônio — só na média.</t>
  </si>
  <si>
    <t>O que custa</t>
  </si>
  <si>
    <t>Custa flexibilidade e carrego: a carteira fica engessada e paga-se caro pelos vértices exatos.</t>
  </si>
  <si>
    <t>Custa exposição residual a torção, convexidade e segundo fator — e exige rebalanceamento.</t>
  </si>
  <si>
    <t>Quem usa</t>
  </si>
  <si>
    <t>Seguradoras e previdência: passivo atuarial longo e relativamente certo.</t>
  </si>
  <si>
    <t>Tesouraria bancária: passivo comportamental, com opções a exercer e prazo incerto.</t>
  </si>
  <si>
    <t>Casar fluxo a fluxo elimina o risco e a flexibilidade; casar duration preserva as duas coisas — metade de cada. O híbrido de mercado: fluxo casado no curto (onde o passivo é previsível) e duration no longo.</t>
  </si>
  <si>
    <t>Módulo 4 · Bloco 3 — Instruções</t>
  </si>
  <si>
    <t>O QUE É IMUNIZAR</t>
  </si>
  <si>
    <t>Imunizar é fazer ativo e passivo caírem juntos num choque paralelo de juros. A condição de Redington escreve isso como D_ativo = D_passivo × (Passivo/Ativo); o gap é o que falta para essa igualdade: gap = D_ativo − D_passivo × (Passivo/Ativo).</t>
  </si>
  <si>
    <t>Leitura do gap: gap positivo significa que o ativo é mais 'longo' que o passivo — o patrimônio sofre quando a taxa sobe. Gap negativo inverte o sinal: a dor vem na queda.</t>
  </si>
  <si>
    <t>A VERSÃO DE MESA (DV01 CONTRA DV01)</t>
  </si>
  <si>
    <t>Na mesa ninguém compara anos: compara-se reais por bp contra reais por bp. Gap de DV01 = A×D_a×0,0001 − P×D_p×0,0001. É a mesma condição de Redington, só escrita na unidade em que o risco é orçado e monitorado.</t>
  </si>
  <si>
    <t>Origem: o conceito nasce no mundo segurador e previdenciário, onde o passivo atuarial é literal (benefícios a pagar em datas conhecidas). No banco, o mesmo instrumento vira gestão de gap de balanço.</t>
  </si>
  <si>
    <t>FOTOGRAFIA, NÃO ESTADO</t>
  </si>
  <si>
    <t>A duration muda com a taxa (convexidade) e com o tempo (roll-down) — e em ritmos diferentes nos dois lados do balanço. Por isso 'imunizado' não é um estado, é uma fotografia que envelhece: imunizar é processo, com frequência, custo de transação e disciplina.</t>
  </si>
  <si>
    <t>Critério maduro: BANDA DE GAP, não calendário. Revise a carteira quando |gap de DV01| ultrapassar o limite definido — e não porque virou o mês.</t>
  </si>
  <si>
    <t>AS TRÊS RACHADURAS — "IMUNIZEI ≠ ESTOU IMUNE"</t>
  </si>
  <si>
    <t>1 · TORÇÃO — durations casadas na média não protegem contra mudança de inclinação.   → Antídoto: casar por vértice (key-rate DV01), não só na média.</t>
  </si>
  <si>
    <t>2 · CONVEXIDADE — com gap zero, o formato da proteção depende do segundo termo.   → Antídoto: exigir C_ativo ≥ C_passivo e vigiar o gap de convexidade.</t>
  </si>
  <si>
    <t>3 · SEGUNDO FATOR — casar juros não casa spread (LFT, LF, crédito).   → Antídoto: medir o DV01 de spread separadamente do DV01 de juros.</t>
  </si>
  <si>
    <t>CASHFLOW MATCHING × DURATION MATCHING</t>
  </si>
  <si>
    <t>Casar fluxo a fluxo elimina o risco e a flexibilidade; casar duration preserva as duas coisas — metade de cada. O híbrido de mercado é fluxo casado no curto (onde o passivo é previsível) e duration matching no longo.</t>
  </si>
  <si>
    <t>A seguradora tende ao cashflow matching (passivo atuarial longo e relativamente certo); a tesouraria bancária tende ao duration matching (passivo comportamental, com opções a exercer).</t>
  </si>
  <si>
    <t>COMO USAR</t>
  </si>
  <si>
    <t>Edite apenas as células azuis da aba Simulador (o resto está bloqueado, sem senha). Resultados em azul escuro. Percorra os blocos 1 a 6 e depois responda os cenários A a F na aba Cenários — a verificação é automática.</t>
  </si>
  <si>
    <t>AVISO: todos os dados são ILUSTRATIVOS, construídos para fins didáticos. Não constituem recomendação de investimento nem refletem preços de mercado.</t>
  </si>
  <si>
    <t>Cenários · Simulador 9 — Imunização</t>
  </si>
  <si>
    <t>Responda nas células azuis. O gabarito é calculado por fórmula a partir da aba Simulador — mude os inputs de lá e os gabaritos acompanham. A coluna F (agrupada) guarda as leituras e respostas-modelo.</t>
  </si>
  <si>
    <t>Cenário / pergunta</t>
  </si>
  <si>
    <t>Sua resposta</t>
  </si>
  <si>
    <t>Gabarito</t>
  </si>
  <si>
    <t>Leitura obrigatória / resposta-modelo</t>
  </si>
  <si>
    <t>CENÁRIO A · Redington — com os defaults do balanço do caso, calcule os gaps e diga o sinal da dor.</t>
  </si>
  <si>
    <t>A1. Gap de duration (anos)</t>
  </si>
  <si>
    <t>A2. Gap de DV01 (R$ mil/bp)</t>
  </si>
  <si>
    <t>A3. O patrimônio sofre na ALTA ou na QUEDA da taxa? (escreva alta ou queda)</t>
  </si>
  <si>
    <t>Gap +0,58 ano e ≈ R$ 23,2 mil/bp: o ativo é mais longo, então cada bp de alta custa R$ 23,2 mil de patrimônio.</t>
  </si>
  <si>
    <t>CENÁRIO B · Reponderação — com curto MD 0,88 e longo MD 3,53, que pesos levam o ativo à duration-alvo?</t>
  </si>
  <si>
    <t>B1. Peso do instrumento curto (w, em %)</t>
  </si>
  <si>
    <t>B2. Peso do instrumento longo (1−w, em %)</t>
  </si>
  <si>
    <t>w ≈ 131% no curto e ≈ −31% no longo. Leitura obrigatória: o alvo exige VENDER o longo (peso negativo) ou aceitar caixa/overnight; na prática, encurta-se os prefixados. O resultado 'estranho' é pedagógico — imunizar um passivo overnight ≈ zerar duration.</t>
  </si>
  <si>
    <t>CENÁRIO C · Fotografia — após 6 meses e +100 bps, o gap saiu da banda de R$ 2.000/bp?</t>
  </si>
  <si>
    <t>C1. Gap de DV01 pós-deriva (R$/bp)</t>
  </si>
  <si>
    <t>C2. Rebalancear? (escreva sim ou nao)</t>
  </si>
  <si>
    <t>A carteira começou com gap ZERO no bloco 2. Seis meses e +100 bps depois, o gap saltou muito além da banda de R$ 2.000/bp — rebalancear. Imunizar é fotografia, não estado.</t>
  </si>
  <si>
    <t>CENÁRIO D · Torção — com gap de duration ZERO (bullet 504 vs. barbell 252+1.008), um steepening −50/+50 abre ou fecha o patrimônio?</t>
  </si>
  <si>
    <t>D1. ΔPatrimônio (R$ mil)</t>
  </si>
  <si>
    <t>D2. O patrimônio abre ou fecha? (escreva abre ou fecha)</t>
  </si>
  <si>
    <t>Durations casadas, perfis diferentes: com o ativo concentrado em 504 du e o passivo nas pontas 252/1.008, a torção move o passivo e quase não move o ativo. O risco vaza por inclinação, não por nível. Antídoto: casar por vértice (key-rate DV01), não só na média.</t>
  </si>
  <si>
    <t>CENÁRIO E · Rachadura 3 — casei toda a duration de juros. A LFT e a LF do balanço estão protegidas?</t>
  </si>
  <si>
    <t>E1. Estão protegidas? (escreva sim ou nao)</t>
  </si>
  <si>
    <t>nao</t>
  </si>
  <si>
    <t>Não. (1) Spread é outro fator de risco — casar a curva de juros não casa crédito/funding. (2) A LFT é pós-fixada: DV01 de juros próximo de zero, mas DV01 de spread relevante. (3) A LF carrega spread de emissão próprio. (4) Antídoto: medir e limitar o DV01 de spread separadamente do DV01 de juros.</t>
  </si>
  <si>
    <t>CENÁRIO F · Matching — por que a seguradora tende ao cashflow matching e o banco ao duration matching?</t>
  </si>
  <si>
    <t>F1. Escreva sua resposta (uma ou duas frases)</t>
  </si>
  <si>
    <t>— (qualitativo)</t>
  </si>
  <si>
    <t>Resposta-modelo: a seguradora tem passivo atuarial longo, datado e relativamente certo — dá para casar fluxo a fluxo e travar o resultado. O banco tem passivo comportamental (depósitos, opções de saque e pré-pagamento) com prazo incerto e opinião a exercer: casar fluxo seria impossível e caro, então casa-se duration e preserva-se flexibilidade.</t>
  </si>
  <si>
    <t># Spec — Simulador 9 · Imunização (casar antes de carregar)</t>
  </si>
  <si>
    <t>&gt; **Prompt para o Claude for Excel.** Crie um arquivo Simulador_9_Imunizacao.xlsx seguindo integralmente esta especificação. Ao final, cole o texto completo deste documento na aba "Prompt".</t>
  </si>
  <si>
    <t>## 1. Contexto e objetivo</t>
  </si>
  <si>
    <t>Simulador do Módulo 4, Bloco 3. Quatro competências:</t>
  </si>
  <si>
    <t>1. **A condição de Redington e o gap**: D_ativo = D_passivo × (Passivo/Ativo); gap = D_ativo − D_passivo × (Passivo/Ativo) — e a **versão de mesa**, que iguala diretamente os DV01s dos dois lados (reais/bp contra reais/bp);</t>
  </si>
  <si>
    <t>2. **Reponderar para imunizar**: achar os pesos de dois instrumentos (curto/longo) que zeram o gap;</t>
  </si>
  <si>
    <t>3. **Imunização é fotografia**: deriva com o tempo e com o nível da taxa; rebalanceamento **por banda de gap**, não por calendário;</t>
  </si>
  <si>
    <t>4. **As três rachaduras** ("imunizei ≠ estou imune"): torção, convexidade e o segundo fator — cada uma com seu antídoto.</t>
  </si>
  <si>
    <t>Fechamento conceitual: **cashflow matching × duration matching** — *"casar fluxo a fluxo elimina o risco e a flexibilidade; casar duration preserva as duas coisas — metade de cada."*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</si>
  <si>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</si>
  <si>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</si>
  <si>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</si>
  <si>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#002C4D, texto #202427, resultados #0C63AA, inputs #DCE9F5 desbloqueados, resto bloqueado (proteção sem senha). Durations com 2 casas; gap de DV01 em R$/bp; patrimônio em R$ mil.</t>
  </si>
  <si>
    <t>## 4. Aba "Instruções"</t>
  </si>
  <si>
    <t>- O que é imunizar: fazer ativo e passivo caírem juntos num choque paralelo — condição de Redington e leitura do gap (*"gap positivo: o ativo é mais 'longo'; o patrimônio sofre quando a taxa sobe"*).</t>
  </si>
  <si>
    <t>- A versão de mesa por DV01 e a origem: mundo segurador/previdenciário (passivo atuarial literal); em banco vira gestão de gap.</t>
  </si>
  <si>
    <t>- **As três rachaduras** (caixa destacada, uma linha cada, com antídotos): (1) torção → casar por vértice, não só na média; (2) convexidade → exigir C_ativo ≥ C_passivo e vigiar o gap de convexidade; (3) segundo fator → casar juros não casa spread; medir o DV01 de spread separadamente.</t>
  </si>
  <si>
    <t>- Cashflow × duration matching e o híbrido de mercado (fluxo casado no curto, duration no longo); seguradora tende ao fluxo, tesouraria bancária ao de duration.</t>
  </si>
  <si>
    <t>## 5. Aba "Simulador"</t>
  </si>
  <si>
    <t>### 5.1 Bloco "Redington e o gap" (inputs azuis)</t>
  </si>
  <si>
    <t>| Campo | Default |</t>
  </si>
  <si>
    <t>|---|---|</t>
  </si>
  <si>
    <t>| Valor do ativo (R$ mi) | 400 |</t>
  </si>
  <si>
    <t>| Duration do ativo (anos) | 0,63 |</t>
  </si>
  <si>
    <t>| Valor do passivo (R$ mi) | 400 |</t>
  </si>
  <si>
    <t>| Duration do passivo (anos) | 0,05 |</t>
  </si>
  <si>
    <t>Calculados: D_alvo = D_p × (P/A) → **0,05**; gap de duration = D_a − D_alvo → **+0,58**; **gap de DV01** = A×D_a×0,0001 − P×D_p×0,0001 (versão de mesa) → **≈ R$ 23,2 mil/bp**. Linha de leitura automática do sinal: gap positivo → *"o patrimônio sofre R$ X mil por bp de ALTA"*; negativo → o inverso; ≈ 0 → *"imunizado (nesta fotografia)"*.</t>
  </si>
  <si>
    <t>### 5.2 Bloco "Reponderar para imunizar" (o solver fechado)</t>
  </si>
  <si>
    <t>Instrumentos disponíveis (inputs azuis): curto (MD default 0,88) e longo (MD default 3,53). Peso do curto que zera o gap:</t>
  </si>
  <si>
    <t>w = (MD_longo − D_alvo) / (MD_longo − MD_curto) — exibir w e (1−w), o novo D_a e o gap ≈ 0 (✔ automático).</t>
  </si>
  <si>
    <t>Célula de custo (gancho ao trade-off): input azul "taxa do curto" (13,60%) e "taxa do longo" (13,40%) → carrego da carteira reponderada vs. carrego da carteira original — *"imunizar custa um carrego conhecido"*.</t>
  </si>
  <si>
    <t>### 5.3 Bloco "A fotografia envelhece" (deriva e banda)</t>
  </si>
  <si>
    <t>Inputs azuis: meses decorridos (default 6) e choque de taxa acumulado (default +100 bps). Modelo didático com zero-cupons: a duration de cada instrumento cai com o tempo (MD_novo ≈ (t − meses/12)/(1+y+Δi), piso zero) — recalcular D_a, D_p, e o **gap de DV01 pós-deriva**.</t>
  </si>
  <si>
    <t>- Input azul: **banda de gap** (default R$ 2.000/bp). Sinalização automática: |gap| dentro da banda → "OK — não rebalancear (custo de transação)"; fora → "REBALANCEAR — o gap saiu da banda".</t>
  </si>
  <si>
    <t>- Linha-síntese: *"quanto maior a convexidade descasada entre os lados, mais rápido a fotografia envelhece."*</t>
  </si>
  <si>
    <t>### 5.4 Bloco "Rachadura 1 ao vivo — torção com gap zero"</t>
  </si>
  <si>
    <t>Estrutura fixa do exemplo do material: ativo **bullet 504 du** vs. passivo **"barbell" 252 + 1.008 du**, com durations idênticas (pesos do passivo calculados para igualar). Tabela de key-rate DV01s dos dois lados por vértice (252/504/1.008) e um input azul de **steepening 252×1.008** (default −50/+50 bps). Calcular o ΔPatrimônio — que deve ser **≠ 0 com gap de duration = 0** — com leitura automática: *"durations casadas, perfis diferentes: a torção vaza por inclinação. Antídoto: casar por vértice."*</t>
  </si>
  <si>
    <t>### 5.5 Bloco "Rachadura 2 — o gap de convexidade" + gráfico (este simulador DEVE ter gráfico)</t>
  </si>
  <si>
    <t>Inputs azuis: C_ativo (default 4,3) e C_passivo (default 1,6). Sinalização: C_a ≥ C_p → "robusto"; caso contrário → "frágil — vigiar".</t>
  </si>
  <si>
    <t>**Gráfico**: ΔPatrimônio × choque paralelo (grade −300 a +300 bps, área auxiliar), duas séries com gap de duration zero: **C_a &gt; C_p** (sorriso — parábola para cima, #0C63AA) e **C_a &lt; C_p** (careta — parábola para baixo, cinza tracejada). Fórmula das séries: ΔPatr = ½·(C_a·A − C_p·P)·Δi² (por R$ 100 de base, escalar). Título: "Gap zero não basta: a convexidade decide o formato da proteção".</t>
  </si>
  <si>
    <t>### 5.6 Bloco informativo "Cashflow × duration matching"</t>
  </si>
  <si>
    <t>Tabela comparativa de 3 linhas (o que elimina · o que custa · quem usa), sem cálculo, fechando com o híbrido de mercado.</t>
  </si>
  <si>
    <t>## 6. Aba "Cenários"</t>
  </si>
  <si>
    <t>Verificação automática padrão (gabaritos por fórmula).</t>
  </si>
  <si>
    <t>- **Cenário A (Redington):** com os defaults do balanço do caso, calcule o gap de duration e o de DV01, e diga o sinal da dor. Gabaritos: +0,58; ≈ R$ 23,2 mil/bp; sofre na alta.</t>
  </si>
  <si>
    <t>- **Cenário B (reponderação):** com curto MD 0,88 e longo MD 3,53, que pesos levam o ativo à duration-alvo 0,05? Gabarito por fórmula (w ≈ 131% curto / −31% longo) — e a leitura obrigatória: o alvo exige VENDER o longo (peso negativo) ou aceitar caixa/overnight; na prática, encurta-se os prefixados. (Este resultado "estranho" é pedagógico: imunizar um passivo overnight ≈ zerar duration.)</t>
  </si>
  <si>
    <t>- **Cenário C (fotografia):** após 6 meses e +100 bps, o gap saiu da banda de R$ 2.000/bp? Gabarito pela sinalização do bloco 5.3.</t>
  </si>
  <si>
    <t>- **Cenário D (torção):** com gap de duration zero (bullet 504 vs. barbell 252+1.008), um steepening −50/+50 abre ou fecha o patrimônio? Gabarito por fórmula do bloco 5.4; leitura: vaza por inclinação — casar por vértice.</t>
  </si>
  <si>
    <t>- **Cenário E (rachadura 3):** casei toda a duration de juros. A LFT e a LF do balanço estão protegidas? Gabarito (lista): não — spread é outro fator; medir o DV01 de spread separadamente.</t>
  </si>
  <si>
    <t>- **Cenário F (matching):** por que a seguradora tende ao cashflow matching e o banco ao duration matching? Resposta-modelo oculta: passivo atuarial longo e certo × passivo comportamental com opinião a exercer.</t>
  </si>
  <si>
    <t>## 7. Aba "Prompt"</t>
  </si>
  <si>
    <t>Colar o texto integral desta especificação, com título "Prompt utilizado para gerar este simulador" e data.</t>
  </si>
  <si>
    <t>## 8. Critérios de aceite</t>
  </si>
  <si>
    <t>- Defaults: gap de duration +0,58; gap de DV01 ≈ 23,2 mil/bp; solver zera o gap com ✔; cenário B devolve o peso negativo com a leitura pedagógica.</t>
  </si>
  <si>
    <t>- Bloco 5.4 produz ΔPatrimônio ≠ 0 com durations casadas (a demonstração central do simulador).</t>
  </si>
  <si>
    <t>- Gráfico sorriso × careta correto (parábolas de sinais opostos, cruzando em zero).</t>
  </si>
  <si>
    <t>- Banda de gap sinaliza corretamente dentro/fora; apenas células azuis editáveis; aba Prompt com a spec na íntegra.</t>
  </si>
  <si>
    <t>Prompt utilizado para gerar este simulador</t>
  </si>
  <si>
    <t>Especificação integral · colada em 13/08/2026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</si>
</sst>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+0.00;\-0.00;0.00"/>
    <numFmt numFmtId="165" formatCode="#,##0.0;\(#,##0.0\);\-"/>
    <numFmt numFmtId="166" formatCode="0.0%"/>
    <numFmt numFmtId="167" formatCode="0.000%"/>
    <numFmt numFmtId="168" formatCode="\+#,##0;\-#,##0;0"/>
    <numFmt numFmtId="169" formatCode="#,##0;\(#,##0\);\-"/>
    <numFmt numFmtId="170" formatCode="#,##0.0"/>
    <numFmt numFmtId="171" formatCode="0.0"/>
    <numFmt numFmtId="172" formatCode="\+0.0;\-0.0;0.0"/>
    <numFmt numFmtId="173" formatCode="#,##0;\(#,##0\)"/>
    <numFmt numFmtId="174" formatCode="#,##0.0;\(#,##0.0\)"/>
  </numFmts>
  <fonts count="13" x14ac:knownFonts="1">
    <font>
      <sz val="11"/>
      <color theme="1"/>
      <name val="Aptos Narrow"/>
      <family val="2"/>
      <scheme val="minor"/>
    </font>
    <font>
      <sz val="11"/>
      <color rgb="FF202427"/>
      <name val="Arial"/>
    </font>
    <font>
      <sz val="11"/>
      <color rgb="FF002C4D"/>
      <name val="Arial"/>
    </font>
    <font>
      <b/>
      <sz val="18"/>
      <color rgb="FF002C4D"/>
      <name val="Arial"/>
    </font>
    <font>
      <i/>
      <sz val="11"/>
      <color rgb="FF202427"/>
      <name val="Arial"/>
    </font>
    <font>
      <b/>
      <sz val="12"/>
      <color rgb="FF002C4D"/>
      <name val="Arial"/>
    </font>
    <font>
      <sz val="11"/>
      <color rgb="FF0C63AA"/>
      <name val="Arial"/>
    </font>
    <font>
      <b/>
      <sz val="11"/>
      <color rgb="FF0C63AA"/>
      <name val="Arial"/>
    </font>
    <font>
      <i/>
      <sz val="11"/>
      <color rgb="FF0C63AA"/>
      <name val="Arial"/>
    </font>
    <font>
      <b/>
      <sz val="11"/>
      <color rgb="FF002C4D"/>
      <name val="Arial"/>
    </font>
    <font>
      <sz val="11"/>
      <color rgb="FF767676"/>
      <name val="Arial"/>
    </font>
    <font>
      <b/>
      <i/>
      <sz val="11"/>
      <color rgb="FF002C4D"/>
      <name val="Arial"/>
    </font>
    <font>
      <b/>
      <sz val="11"/>
      <color rgb="FF202427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E9F5"/>
        <bgColor indexed="64"/>
      </patternFill>
    </fill>
    <fill>
      <patternFill patternType="solid">
        <fgColor rgb="FFF2F7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11" fillId="2" borderId="0" xfId="0" applyFont="1" applyFill="1" applyAlignment="1">
      <alignment vertical="top" wrapText="1"/>
    </xf>
    <xf numFmtId="2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5" fontId="7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7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0" fontId="6" fillId="2" borderId="0" xfId="0" applyNumberFormat="1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7" fontId="7" fillId="2" borderId="0" xfId="0" applyNumberFormat="1" applyFont="1" applyFill="1" applyAlignment="1">
      <alignment horizontal="center"/>
    </xf>
    <xf numFmtId="169" fontId="7" fillId="2" borderId="0" xfId="0" applyNumberFormat="1" applyFont="1" applyFill="1" applyAlignment="1">
      <alignment horizontal="center"/>
    </xf>
    <xf numFmtId="0" fontId="7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8" fontId="1" fillId="2" borderId="0" xfId="0" applyNumberFormat="1" applyFont="1" applyFill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72" fontId="7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1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top" wrapText="1"/>
    </xf>
    <xf numFmtId="164" fontId="6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170" fontId="6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6" fontId="6" fillId="2" borderId="0" xfId="0" applyNumberFormat="1" applyFont="1" applyFill="1" applyAlignment="1">
      <alignment horizontal="center" vertical="top"/>
    </xf>
    <xf numFmtId="173" fontId="6" fillId="2" borderId="0" xfId="0" applyNumberFormat="1" applyFont="1" applyFill="1" applyAlignment="1">
      <alignment horizontal="center" vertical="top"/>
    </xf>
    <xf numFmtId="174" fontId="6" fillId="2" borderId="0" xfId="0" applyNumberFormat="1" applyFont="1" applyFill="1" applyAlignment="1">
      <alignment horizontal="center" vertical="top"/>
    </xf>
    <xf numFmtId="3" fontId="1" fillId="3" borderId="0" xfId="0" applyNumberFormat="1" applyFont="1" applyFill="1" applyAlignment="1" applyProtection="1">
      <alignment horizontal="center"/>
      <protection locked="0"/>
    </xf>
    <xf numFmtId="2" fontId="1" fillId="3" borderId="0" xfId="0" applyNumberFormat="1" applyFont="1" applyFill="1" applyAlignment="1" applyProtection="1">
      <alignment horizontal="center"/>
      <protection locked="0"/>
    </xf>
    <xf numFmtId="10" fontId="1" fillId="3" borderId="0" xfId="0" applyNumberFormat="1" applyFont="1" applyFill="1" applyAlignment="1" applyProtection="1">
      <alignment horizontal="center"/>
      <protection locked="0"/>
    </xf>
    <xf numFmtId="1" fontId="1" fillId="3" borderId="0" xfId="0" applyNumberFormat="1" applyFont="1" applyFill="1" applyAlignment="1" applyProtection="1">
      <alignment horizontal="center"/>
      <protection locked="0"/>
    </xf>
    <xf numFmtId="168" fontId="1" fillId="3" borderId="0" xfId="0" applyNumberFormat="1" applyFont="1" applyFill="1" applyAlignment="1" applyProtection="1">
      <alignment horizontal="center"/>
      <protection locked="0"/>
    </xf>
    <xf numFmtId="171" fontId="1" fillId="3" borderId="0" xfId="0" applyNumberFormat="1" applyFont="1" applyFill="1" applyAlignment="1" applyProtection="1">
      <alignment horizontal="center"/>
      <protection locked="0"/>
    </xf>
    <xf numFmtId="2" fontId="1" fillId="3" borderId="0" xfId="0" applyNumberFormat="1" applyFont="1" applyFill="1" applyAlignment="1" applyProtection="1">
      <alignment horizontal="center" vertical="top"/>
      <protection locked="0"/>
    </xf>
    <xf numFmtId="170" fontId="1" fillId="3" borderId="0" xfId="0" applyNumberFormat="1" applyFont="1" applyFill="1" applyAlignment="1" applyProtection="1">
      <alignment horizontal="center" vertical="top"/>
      <protection locked="0"/>
    </xf>
    <xf numFmtId="0" fontId="1" fillId="3" borderId="0" xfId="0" applyFont="1" applyFill="1" applyAlignment="1" applyProtection="1">
      <alignment horizontal="center" vertical="top"/>
      <protection locked="0"/>
    </xf>
    <xf numFmtId="166" fontId="1" fillId="3" borderId="0" xfId="0" applyNumberFormat="1" applyFont="1" applyFill="1" applyAlignment="1" applyProtection="1">
      <alignment horizontal="center" vertical="top"/>
      <protection locked="0"/>
    </xf>
    <xf numFmtId="3" fontId="1" fillId="3" borderId="0" xfId="0" applyNumberFormat="1" applyFont="1" applyFill="1" applyAlignment="1" applyProtection="1">
      <alignment horizontal="center" vertical="top"/>
      <protection locked="0"/>
    </xf>
    <xf numFmtId="0" fontId="1" fillId="3" borderId="0" xfId="0" applyFont="1" applyFill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Gap zero não basta: a convexidade decide o formato da proteção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Simulador!$I$71</c:f>
              <c:strCache>
                <c:ptCount val="1"/>
                <c:pt idx="0">
                  <c:v>C_a &gt; C_p (sorriso)</c:v>
                </c:pt>
              </c:strCache>
            </c:strRef>
          </c:tx>
          <c:spPr>
            <a:ln w="317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Simulador!$H$72:$H$84</c:f>
              <c:numCache>
                <c:formatCode>\+#,##0;\-#,##0;0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cat>
          <c:val>
            <c:numRef>
              <c:f>Simulador!$I$72:$I$84</c:f>
              <c:numCache>
                <c:formatCode>#,##0.0;\(#,##0.0\);\-</c:formatCode>
                <c:ptCount val="13"/>
                <c:pt idx="0">
                  <c:v>486</c:v>
                </c:pt>
                <c:pt idx="1">
                  <c:v>337.50000000000006</c:v>
                </c:pt>
                <c:pt idx="2">
                  <c:v>216</c:v>
                </c:pt>
                <c:pt idx="3">
                  <c:v>121.5</c:v>
                </c:pt>
                <c:pt idx="4">
                  <c:v>54</c:v>
                </c:pt>
                <c:pt idx="5">
                  <c:v>13.5</c:v>
                </c:pt>
                <c:pt idx="6">
                  <c:v>0</c:v>
                </c:pt>
                <c:pt idx="7">
                  <c:v>13.5</c:v>
                </c:pt>
                <c:pt idx="8">
                  <c:v>54</c:v>
                </c:pt>
                <c:pt idx="9">
                  <c:v>121.5</c:v>
                </c:pt>
                <c:pt idx="10">
                  <c:v>216</c:v>
                </c:pt>
                <c:pt idx="11">
                  <c:v>337.50000000000006</c:v>
                </c:pt>
                <c:pt idx="12">
                  <c:v>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70-4DEB-AF7C-34A5E4471E3B}"/>
            </c:ext>
          </c:extLst>
        </c:ser>
        <c:ser>
          <c:idx val="1"/>
          <c:order val="1"/>
          <c:tx>
            <c:strRef>
              <c:f>Simulador!$J$71</c:f>
              <c:strCache>
                <c:ptCount val="1"/>
                <c:pt idx="0">
                  <c:v>C_a &lt; C_p (careta)</c:v>
                </c:pt>
              </c:strCache>
            </c:strRef>
          </c:tx>
          <c:spPr>
            <a:ln w="25400" cap="rnd">
              <a:solidFill>
                <a:srgbClr val="767676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Simulador!$H$72:$H$84</c:f>
              <c:numCache>
                <c:formatCode>\+#,##0;\-#,##0;0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cat>
          <c:val>
            <c:numRef>
              <c:f>Simulador!$J$72:$J$84</c:f>
              <c:numCache>
                <c:formatCode>#,##0.0;\(#,##0.0\);\-</c:formatCode>
                <c:ptCount val="13"/>
                <c:pt idx="0">
                  <c:v>-486</c:v>
                </c:pt>
                <c:pt idx="1">
                  <c:v>-337.50000000000006</c:v>
                </c:pt>
                <c:pt idx="2">
                  <c:v>-216</c:v>
                </c:pt>
                <c:pt idx="3">
                  <c:v>-121.5</c:v>
                </c:pt>
                <c:pt idx="4">
                  <c:v>-54</c:v>
                </c:pt>
                <c:pt idx="5">
                  <c:v>-13.5</c:v>
                </c:pt>
                <c:pt idx="6">
                  <c:v>0</c:v>
                </c:pt>
                <c:pt idx="7">
                  <c:v>-13.5</c:v>
                </c:pt>
                <c:pt idx="8">
                  <c:v>-54</c:v>
                </c:pt>
                <c:pt idx="9">
                  <c:v>-121.5</c:v>
                </c:pt>
                <c:pt idx="10">
                  <c:v>-216</c:v>
                </c:pt>
                <c:pt idx="11">
                  <c:v>-337.50000000000006</c:v>
                </c:pt>
                <c:pt idx="12">
                  <c:v>-486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70-4DEB-AF7C-34A5E4471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2438928"/>
        <c:axId val="1955295696"/>
      </c:lineChart>
      <c:catAx>
        <c:axId val="1262438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Choque paralelo (bps)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\+#,##0;\-#,##0;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55295696"/>
        <c:crosses val="autoZero"/>
        <c:auto val="1"/>
        <c:lblAlgn val="ctr"/>
        <c:lblOffset val="100"/>
        <c:noMultiLvlLbl val="0"/>
      </c:catAx>
      <c:valAx>
        <c:axId val="195529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Δ</a:t>
                </a:r>
                <a:r>
                  <a:rPr lang="pt-BR"/>
                  <a:t>Patrimônio (R$ mil)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;\(#,##0.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62438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70</xdr:row>
      <xdr:rowOff>0</xdr:rowOff>
    </xdr:from>
    <xdr:to>
      <xdr:col>20</xdr:col>
      <xdr:colOff>0</xdr:colOff>
      <xdr:row>90</xdr:row>
      <xdr:rowOff>0</xdr:rowOff>
    </xdr:to>
    <xdr:graphicFrame macro="">
      <xdr:nvGraphicFramePr>
        <xdr:cNvPr id="3" name="GrafConvexidade">
          <a:extLst>
            <a:ext uri="{FF2B5EF4-FFF2-40B4-BE49-F238E27FC236}">
              <a16:creationId xmlns:a16="http://schemas.microsoft.com/office/drawing/2014/main" id="{711B6F34-66FD-7766-88B8-FB4B21AAF6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81702D0-5168-4EFC-8DCE-3BCB6C122245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ed0ee532-77a4-40d6-b47f-88096d229ba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B5CC-6BA8-4DA9-AC22-63C1570E3ECD}">
  <dimension ref="A1:Z28"/>
  <sheetViews>
    <sheetView showGridLines="0" topLeftCell="A14" workbookViewId="0">
      <selection activeCell="B9" sqref="B9"/>
    </sheetView>
  </sheetViews>
  <sheetFormatPr defaultRowHeight="14.4" x14ac:dyDescent="0.3"/>
  <cols>
    <col min="1" max="1" width="2.5546875" style="1" customWidth="1"/>
    <col min="2" max="2" width="166.6640625" style="1" customWidth="1"/>
    <col min="3" max="26" width="8.88671875" style="1"/>
  </cols>
  <sheetData>
    <row r="1" spans="2:2" ht="22.8" x14ac:dyDescent="0.4">
      <c r="B1" s="2" t="s">
        <v>0</v>
      </c>
    </row>
    <row r="2" spans="2:2" x14ac:dyDescent="0.3">
      <c r="B2" s="3" t="s">
        <v>83</v>
      </c>
    </row>
    <row r="4" spans="2:2" ht="15.6" x14ac:dyDescent="0.3">
      <c r="B4" s="4" t="s">
        <v>84</v>
      </c>
    </row>
    <row r="5" spans="2:2" ht="27.6" x14ac:dyDescent="0.3">
      <c r="B5" s="5" t="s">
        <v>85</v>
      </c>
    </row>
    <row r="6" spans="2:2" x14ac:dyDescent="0.3">
      <c r="B6" s="5" t="s">
        <v>86</v>
      </c>
    </row>
    <row r="7" spans="2:2" x14ac:dyDescent="0.3">
      <c r="B7" s="5"/>
    </row>
    <row r="8" spans="2:2" ht="15.6" x14ac:dyDescent="0.3">
      <c r="B8" s="6" t="s">
        <v>87</v>
      </c>
    </row>
    <row r="9" spans="2:2" ht="27.6" x14ac:dyDescent="0.3">
      <c r="B9" s="5" t="s">
        <v>88</v>
      </c>
    </row>
    <row r="10" spans="2:2" ht="27.6" x14ac:dyDescent="0.3">
      <c r="B10" s="5" t="s">
        <v>89</v>
      </c>
    </row>
    <row r="11" spans="2:2" x14ac:dyDescent="0.3">
      <c r="B11" s="5"/>
    </row>
    <row r="12" spans="2:2" ht="15.6" x14ac:dyDescent="0.3">
      <c r="B12" s="6" t="s">
        <v>90</v>
      </c>
    </row>
    <row r="13" spans="2:2" ht="27.6" x14ac:dyDescent="0.3">
      <c r="B13" s="5" t="s">
        <v>91</v>
      </c>
    </row>
    <row r="14" spans="2:2" x14ac:dyDescent="0.3">
      <c r="B14" s="7" t="s">
        <v>92</v>
      </c>
    </row>
    <row r="15" spans="2:2" x14ac:dyDescent="0.3">
      <c r="B15" s="5"/>
    </row>
    <row r="16" spans="2:2" ht="15.6" x14ac:dyDescent="0.3">
      <c r="B16" s="6" t="s">
        <v>93</v>
      </c>
    </row>
    <row r="17" spans="2:2" x14ac:dyDescent="0.3">
      <c r="B17" s="8" t="s">
        <v>94</v>
      </c>
    </row>
    <row r="18" spans="2:2" x14ac:dyDescent="0.3">
      <c r="B18" s="8" t="s">
        <v>95</v>
      </c>
    </row>
    <row r="19" spans="2:2" x14ac:dyDescent="0.3">
      <c r="B19" s="8" t="s">
        <v>96</v>
      </c>
    </row>
    <row r="20" spans="2:2" x14ac:dyDescent="0.3">
      <c r="B20" s="5"/>
    </row>
    <row r="21" spans="2:2" ht="15.6" x14ac:dyDescent="0.3">
      <c r="B21" s="6" t="s">
        <v>97</v>
      </c>
    </row>
    <row r="22" spans="2:2" ht="27.6" x14ac:dyDescent="0.3">
      <c r="B22" s="5" t="s">
        <v>98</v>
      </c>
    </row>
    <row r="23" spans="2:2" ht="27.6" x14ac:dyDescent="0.3">
      <c r="B23" s="5" t="s">
        <v>99</v>
      </c>
    </row>
    <row r="24" spans="2:2" x14ac:dyDescent="0.3">
      <c r="B24" s="5"/>
    </row>
    <row r="25" spans="2:2" ht="15.6" x14ac:dyDescent="0.3">
      <c r="B25" s="6" t="s">
        <v>100</v>
      </c>
    </row>
    <row r="26" spans="2:2" ht="27.6" x14ac:dyDescent="0.3">
      <c r="B26" s="5" t="s">
        <v>101</v>
      </c>
    </row>
    <row r="27" spans="2:2" x14ac:dyDescent="0.3">
      <c r="B27" s="5"/>
    </row>
    <row r="28" spans="2:2" x14ac:dyDescent="0.3">
      <c r="B28" s="9" t="s">
        <v>102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85A8-99AB-4B22-9918-1C19C4187D6F}">
  <dimension ref="A1:Z91"/>
  <sheetViews>
    <sheetView showGridLines="0" tabSelected="1" workbookViewId="0">
      <selection activeCell="D9" sqref="D9"/>
    </sheetView>
  </sheetViews>
  <sheetFormatPr defaultRowHeight="14.4" x14ac:dyDescent="0.3"/>
  <cols>
    <col min="1" max="1" width="2.5546875" style="1" customWidth="1"/>
    <col min="2" max="2" width="61.109375" style="1" customWidth="1"/>
    <col min="3" max="4" width="46.33203125" style="1" customWidth="1"/>
    <col min="5" max="6" width="17.5546875" style="1" customWidth="1"/>
    <col min="7" max="7" width="3.6640625" style="1" customWidth="1"/>
    <col min="8" max="10" width="20.33203125" style="1" customWidth="1"/>
    <col min="11" max="26" width="8.88671875" style="1"/>
  </cols>
  <sheetData>
    <row r="1" spans="2:26" ht="22.8" x14ac:dyDescent="0.4">
      <c r="B1" s="2" t="s">
        <v>0</v>
      </c>
      <c r="Z1"/>
    </row>
    <row r="2" spans="2:26" x14ac:dyDescent="0.3">
      <c r="B2" s="3" t="s">
        <v>1</v>
      </c>
      <c r="Z2"/>
    </row>
    <row r="3" spans="2:26" x14ac:dyDescent="0.3">
      <c r="Z3"/>
    </row>
    <row r="4" spans="2:26" ht="15.6" x14ac:dyDescent="0.3">
      <c r="B4" s="4" t="s">
        <v>2</v>
      </c>
      <c r="Z4"/>
    </row>
    <row r="6" spans="2:26" x14ac:dyDescent="0.3">
      <c r="B6" s="1" t="s">
        <v>3</v>
      </c>
      <c r="C6" s="45">
        <v>400</v>
      </c>
    </row>
    <row r="7" spans="2:26" x14ac:dyDescent="0.3">
      <c r="B7" s="1" t="s">
        <v>4</v>
      </c>
      <c r="C7" s="46">
        <v>0.63</v>
      </c>
    </row>
    <row r="8" spans="2:26" x14ac:dyDescent="0.3">
      <c r="B8" s="1" t="s">
        <v>5</v>
      </c>
      <c r="C8" s="45">
        <v>400</v>
      </c>
    </row>
    <row r="9" spans="2:26" x14ac:dyDescent="0.3">
      <c r="B9" s="1" t="s">
        <v>6</v>
      </c>
      <c r="C9" s="46">
        <v>0.05</v>
      </c>
    </row>
    <row r="11" spans="2:26" x14ac:dyDescent="0.3">
      <c r="B11" s="1" t="s">
        <v>7</v>
      </c>
      <c r="C11" s="10">
        <f>C9*(C8/C6)</f>
        <v>0.05</v>
      </c>
    </row>
    <row r="12" spans="2:26" x14ac:dyDescent="0.3">
      <c r="B12" s="1" t="s">
        <v>8</v>
      </c>
      <c r="C12" s="11">
        <f>C7-C11</f>
        <v>0.57999999999999996</v>
      </c>
    </row>
    <row r="13" spans="2:26" x14ac:dyDescent="0.3">
      <c r="B13" s="1" t="s">
        <v>9</v>
      </c>
      <c r="C13" s="12">
        <f>(C6*C7-C8*C9)*0.0001*1000</f>
        <v>23.200000000000003</v>
      </c>
    </row>
    <row r="14" spans="2:26" x14ac:dyDescent="0.3">
      <c r="B14" s="13" t="str">
        <f>IF(ABS(C13)&lt;0.001,"Imunizado (nesta fotografia): o patrimônio não reage a um choque paralelo.",IF(C13&gt;0,"Gap positivo: o ativo é mais 'longo' — o patrimônio sofre R$ "&amp;TEXT(ABS(C13),"#.##0,0")&amp;" mil por bp de ALTA da taxa.","Gap negativo: o passivo é mais 'longo' — o patrimônio sofre R$ "&amp;TEXT(ABS(C13),"#.##0,0")&amp;" mil por bp de QUEDA da taxa."))</f>
        <v>Gap positivo: o ativo é mais 'longo' — o patrimônio sofre R$ 23,2 mil por bp de ALTA da taxa.</v>
      </c>
    </row>
    <row r="16" spans="2:26" ht="15.6" x14ac:dyDescent="0.3">
      <c r="B16" s="4" t="s">
        <v>10</v>
      </c>
    </row>
    <row r="17" spans="2:4" x14ac:dyDescent="0.3">
      <c r="B17" s="1" t="s">
        <v>11</v>
      </c>
      <c r="C17" s="46">
        <v>0.88</v>
      </c>
    </row>
    <row r="18" spans="2:4" x14ac:dyDescent="0.3">
      <c r="B18" s="1" t="s">
        <v>12</v>
      </c>
      <c r="C18" s="46">
        <v>3.53</v>
      </c>
    </row>
    <row r="19" spans="2:4" x14ac:dyDescent="0.3">
      <c r="B19" s="1" t="s">
        <v>13</v>
      </c>
      <c r="C19" s="14">
        <f>(C18-C11)/(C18-C17)</f>
        <v>1.3132075471698113</v>
      </c>
      <c r="D19" s="13" t="str">
        <f>IF(C19&gt;1,"Peso &gt; 100%: o alvo exige VENDER o longo (peso negativo) ou alocar caixa/overnight. Imunizar um passivo overnight ≈ zerar duration.","")</f>
        <v>Peso &gt; 100%: o alvo exige VENDER o longo (peso negativo) ou alocar caixa/overnight. Imunizar um passivo overnight ≈ zerar duration.</v>
      </c>
    </row>
    <row r="20" spans="2:4" x14ac:dyDescent="0.3">
      <c r="B20" s="1" t="s">
        <v>14</v>
      </c>
      <c r="C20" s="14">
        <f>1-C19</f>
        <v>-0.31320754716981125</v>
      </c>
    </row>
    <row r="21" spans="2:4" x14ac:dyDescent="0.3">
      <c r="B21" s="1" t="s">
        <v>15</v>
      </c>
      <c r="C21" s="15">
        <f>C19*C17+C20*C18</f>
        <v>5.0000000000000266E-2</v>
      </c>
    </row>
    <row r="22" spans="2:4" x14ac:dyDescent="0.3">
      <c r="B22" s="1" t="s">
        <v>16</v>
      </c>
      <c r="C22" s="15">
        <f>C21-C11</f>
        <v>2.6367796834847468E-16</v>
      </c>
    </row>
    <row r="23" spans="2:4" x14ac:dyDescent="0.3">
      <c r="B23" s="1" t="s">
        <v>17</v>
      </c>
      <c r="C23" s="16" t="str">
        <f>IF(ABS(C22)&lt;0.0001,"✔ gap zerado","✖ ajustar")</f>
        <v>✔ gap zerado</v>
      </c>
    </row>
    <row r="25" spans="2:4" x14ac:dyDescent="0.3">
      <c r="B25" s="1" t="s">
        <v>18</v>
      </c>
      <c r="C25" s="47">
        <v>0.13600000000000001</v>
      </c>
    </row>
    <row r="26" spans="2:4" x14ac:dyDescent="0.3">
      <c r="B26" s="1" t="s">
        <v>19</v>
      </c>
      <c r="C26" s="47">
        <v>0.13400000000000001</v>
      </c>
    </row>
    <row r="27" spans="2:4" x14ac:dyDescent="0.3">
      <c r="B27" s="1" t="s">
        <v>20</v>
      </c>
      <c r="C27" s="17">
        <f>C19*C25+C20*C26</f>
        <v>0.13662641509433965</v>
      </c>
    </row>
    <row r="28" spans="2:4" x14ac:dyDescent="0.3">
      <c r="B28" s="1" t="s">
        <v>21</v>
      </c>
      <c r="C28" s="18">
        <f>(C18-C7)/(C18-C17)</f>
        <v>1.0943396226415094</v>
      </c>
    </row>
    <row r="29" spans="2:4" x14ac:dyDescent="0.3">
      <c r="B29" s="1" t="s">
        <v>22</v>
      </c>
      <c r="C29" s="17">
        <f>C28*C25+(1-C28)*C26</f>
        <v>0.13618867924528305</v>
      </c>
    </row>
    <row r="30" spans="2:4" x14ac:dyDescent="0.3">
      <c r="B30" s="1" t="s">
        <v>23</v>
      </c>
      <c r="C30" s="19">
        <f>C27-C29</f>
        <v>4.3773584905659746E-4</v>
      </c>
    </row>
    <row r="31" spans="2:4" x14ac:dyDescent="0.3">
      <c r="B31" s="13" t="str">
        <f>IF(C30&lt;0,"Imunizar custa "&amp;TEXT(-C30*10000,"#.##0,0")&amp;" bps de carrego ao ano — o preço conhecido da proteção.","Nesta curva invertida, encurtar a carteira ADICIONA "&amp;TEXT(C30*10000,"#.##0,0")&amp;" bps de carrego ao ano; com curva positivamente inclinada o sinal se inverte e imunizar passa a custar carrego.")</f>
        <v>Nesta curva invertida, encurtar a carteira ADICIONA 4,4 bps de carrego ao ano; com curva positivamente inclinada o sinal se inverte e imunizar passa a custar carrego.</v>
      </c>
    </row>
    <row r="33" spans="2:4" ht="15.6" x14ac:dyDescent="0.3">
      <c r="B33" s="4" t="s">
        <v>24</v>
      </c>
    </row>
    <row r="34" spans="2:4" x14ac:dyDescent="0.3">
      <c r="B34" s="3" t="s">
        <v>25</v>
      </c>
    </row>
    <row r="35" spans="2:4" x14ac:dyDescent="0.3">
      <c r="B35" s="1" t="s">
        <v>26</v>
      </c>
      <c r="C35" s="47">
        <v>0.13600000000000001</v>
      </c>
    </row>
    <row r="36" spans="2:4" x14ac:dyDescent="0.3">
      <c r="B36" s="1" t="s">
        <v>27</v>
      </c>
      <c r="C36" s="47">
        <v>0.13500000000000001</v>
      </c>
    </row>
    <row r="37" spans="2:4" x14ac:dyDescent="0.3">
      <c r="B37" s="1" t="s">
        <v>28</v>
      </c>
      <c r="C37" s="47">
        <v>0.13400000000000001</v>
      </c>
    </row>
    <row r="38" spans="2:4" x14ac:dyDescent="0.3">
      <c r="B38" s="1" t="s">
        <v>29</v>
      </c>
      <c r="C38" s="48">
        <v>6</v>
      </c>
    </row>
    <row r="39" spans="2:4" x14ac:dyDescent="0.3">
      <c r="B39" s="1" t="s">
        <v>30</v>
      </c>
      <c r="C39" s="49">
        <v>100</v>
      </c>
    </row>
    <row r="40" spans="2:4" x14ac:dyDescent="0.3">
      <c r="B40" s="1" t="s">
        <v>31</v>
      </c>
      <c r="C40" s="45">
        <v>2000</v>
      </c>
    </row>
    <row r="42" spans="2:4" x14ac:dyDescent="0.3">
      <c r="B42" s="1" t="s">
        <v>32</v>
      </c>
      <c r="C42" s="15">
        <f>C17*(1+C35)</f>
        <v>0.99968000000000012</v>
      </c>
    </row>
    <row r="43" spans="2:4" x14ac:dyDescent="0.3">
      <c r="B43" s="1" t="s">
        <v>33</v>
      </c>
      <c r="C43" s="15">
        <f>C18*(1+C37)</f>
        <v>4.0030199999999994</v>
      </c>
    </row>
    <row r="44" spans="2:4" x14ac:dyDescent="0.3">
      <c r="B44" s="1" t="s">
        <v>34</v>
      </c>
      <c r="C44" s="15">
        <f>C9*(1+C35)</f>
        <v>5.680000000000001E-2</v>
      </c>
    </row>
    <row r="45" spans="2:4" x14ac:dyDescent="0.3">
      <c r="B45" s="1" t="s">
        <v>35</v>
      </c>
      <c r="C45" s="15">
        <f>MAX(0,(C42-C38/12)/(1+C35+C39/10000))</f>
        <v>0.43602094240837702</v>
      </c>
    </row>
    <row r="46" spans="2:4" x14ac:dyDescent="0.3">
      <c r="B46" s="1" t="s">
        <v>36</v>
      </c>
      <c r="C46" s="15">
        <f>MAX(0,(C43-C38/12)/(1+C37+C39/10000))</f>
        <v>3.0620804195804192</v>
      </c>
    </row>
    <row r="47" spans="2:4" x14ac:dyDescent="0.3">
      <c r="B47" s="1" t="s">
        <v>37</v>
      </c>
      <c r="C47" s="15">
        <f>MAX(0,(C44-C38/12)/(1+C35+C39/10000))</f>
        <v>0</v>
      </c>
    </row>
    <row r="48" spans="2:4" x14ac:dyDescent="0.3">
      <c r="B48" s="1" t="s">
        <v>38</v>
      </c>
      <c r="C48" s="10">
        <f>C19*C45+C20*C46</f>
        <v>-0.38648070515871524</v>
      </c>
      <c r="D48" s="13" t="str">
        <f>IF(C48&lt;0,"Duration negativa: a posição alavancada (curto &gt;100% / longo &lt;0%) inverte de sinal quando o curto rola para próximo do vencimento. É exatamente a deriva que a banda de gap deveria capturar antes.","")</f>
        <v>Duration negativa: a posição alavancada (curto &gt;100% / longo &lt;0%) inverte de sinal quando o curto rola para próximo do vencimento. É exatamente a deriva que a banda de gap deveria capturar antes.</v>
      </c>
    </row>
    <row r="49" spans="2:7" x14ac:dyDescent="0.3">
      <c r="B49" s="1" t="s">
        <v>39</v>
      </c>
      <c r="C49" s="20">
        <f>(C6*C48-C8*C47)*0.0001*1000000</f>
        <v>-15459.228206348611</v>
      </c>
    </row>
    <row r="50" spans="2:7" x14ac:dyDescent="0.3">
      <c r="B50" s="21" t="str">
        <f>IF(ABS(C49)&lt;=C40,"OK — não rebalancear (o gap cabe na banda; rebalancear só pagaria custo de transação).","REBALANCEAR — o gap saiu da banda: "&amp;TEXT(ABS(C49),"#.##0")&amp;" R$/bp contra limite de "&amp;TEXT(C40,"#.##0")&amp;" R$/bp.")</f>
        <v>REBALANCEAR — o gap saiu da banda: 15.459 R$/bp contra limite de 2.000 R$/bp.</v>
      </c>
    </row>
    <row r="51" spans="2:7" x14ac:dyDescent="0.3">
      <c r="B51" s="3" t="s">
        <v>40</v>
      </c>
    </row>
    <row r="53" spans="2:7" ht="15.6" x14ac:dyDescent="0.3">
      <c r="B53" s="4" t="s">
        <v>41</v>
      </c>
    </row>
    <row r="54" spans="2:7" x14ac:dyDescent="0.3">
      <c r="B54" s="3" t="s">
        <v>42</v>
      </c>
    </row>
    <row r="55" spans="2:7" x14ac:dyDescent="0.3">
      <c r="B55" s="22" t="s">
        <v>43</v>
      </c>
      <c r="C55" s="23" t="s">
        <v>44</v>
      </c>
      <c r="D55" s="23" t="s">
        <v>45</v>
      </c>
      <c r="E55" s="23" t="s">
        <v>46</v>
      </c>
      <c r="F55" s="23" t="s">
        <v>47</v>
      </c>
    </row>
    <row r="56" spans="2:7" x14ac:dyDescent="0.3">
      <c r="B56" s="1" t="s">
        <v>48</v>
      </c>
      <c r="C56" s="24">
        <f>252/252</f>
        <v>1</v>
      </c>
      <c r="D56" s="24">
        <f>504/252</f>
        <v>2</v>
      </c>
      <c r="E56" s="24">
        <f>1008/252</f>
        <v>4</v>
      </c>
    </row>
    <row r="57" spans="2:7" x14ac:dyDescent="0.3">
      <c r="B57" s="1" t="s">
        <v>49</v>
      </c>
      <c r="C57" s="15">
        <f>C56/(1+$C$35)</f>
        <v>0.88028169014084501</v>
      </c>
      <c r="D57" s="15">
        <f>D56/(1+$C$36)</f>
        <v>1.7621145374449338</v>
      </c>
      <c r="E57" s="15">
        <f>E56/(1+$C$37)</f>
        <v>3.5273368606701943</v>
      </c>
    </row>
    <row r="58" spans="2:7" x14ac:dyDescent="0.3">
      <c r="B58" s="1" t="s">
        <v>50</v>
      </c>
      <c r="C58" s="25">
        <v>0</v>
      </c>
      <c r="D58" s="25">
        <v>1</v>
      </c>
      <c r="E58" s="25">
        <v>0</v>
      </c>
      <c r="F58" s="18">
        <f>SUM(C58:E58)</f>
        <v>1</v>
      </c>
    </row>
    <row r="59" spans="2:7" x14ac:dyDescent="0.3">
      <c r="B59" s="1" t="s">
        <v>51</v>
      </c>
      <c r="C59" s="18">
        <f>(E57-$F$60)/(E57-C57)</f>
        <v>0.66686268683710781</v>
      </c>
      <c r="D59" s="25">
        <v>0</v>
      </c>
      <c r="E59" s="18">
        <f>1-C59</f>
        <v>0.33313731316289219</v>
      </c>
      <c r="F59" s="18">
        <f>SUM(C59:E59)</f>
        <v>1</v>
      </c>
    </row>
    <row r="60" spans="2:7" x14ac:dyDescent="0.3">
      <c r="B60" s="1" t="s">
        <v>52</v>
      </c>
      <c r="F60" s="10">
        <f>SUMPRODUCT(C58:E58,C57:E57)</f>
        <v>1.7621145374449338</v>
      </c>
    </row>
    <row r="61" spans="2:7" x14ac:dyDescent="0.3">
      <c r="B61" s="1" t="s">
        <v>53</v>
      </c>
      <c r="F61" s="10">
        <f>SUMPRODUCT(C59:E59,C57:E57)</f>
        <v>1.7621145374449338</v>
      </c>
    </row>
    <row r="62" spans="2:7" x14ac:dyDescent="0.3">
      <c r="B62" s="1" t="s">
        <v>54</v>
      </c>
      <c r="F62" s="10">
        <f>F60-F61</f>
        <v>0</v>
      </c>
      <c r="G62" s="21" t="str">
        <f>IF(ABS(F62)&lt;0.0001,"✔ durations casadas","✖ não casadas")</f>
        <v>✔ durations casadas</v>
      </c>
    </row>
    <row r="63" spans="2:7" x14ac:dyDescent="0.3">
      <c r="B63" s="1" t="s">
        <v>55</v>
      </c>
      <c r="C63" s="26">
        <f>$C$6*C58*C57*0.0001*1000</f>
        <v>0</v>
      </c>
      <c r="D63" s="26">
        <f>$C$6*D58*D57*0.0001*1000</f>
        <v>70.484581497797365</v>
      </c>
      <c r="E63" s="26">
        <f>$C$6*E58*E57*0.0001*1000</f>
        <v>0</v>
      </c>
      <c r="F63" s="12">
        <f>SUM(C63:E63)</f>
        <v>70.484581497797365</v>
      </c>
    </row>
    <row r="64" spans="2:7" x14ac:dyDescent="0.3">
      <c r="B64" s="1" t="s">
        <v>56</v>
      </c>
      <c r="C64" s="26">
        <f>$C$8*C59*C57*0.0001*1000</f>
        <v>23.481080522433373</v>
      </c>
      <c r="D64" s="26">
        <f>$C$8*D59*D57*0.0001*1000</f>
        <v>0</v>
      </c>
      <c r="E64" s="26">
        <f>$C$8*E59*E57*0.0001*1000</f>
        <v>47.003500975363991</v>
      </c>
      <c r="F64" s="12">
        <f>SUM(C64:E64)</f>
        <v>70.484581497797365</v>
      </c>
    </row>
    <row r="65" spans="2:10" x14ac:dyDescent="0.3">
      <c r="B65" s="1" t="s">
        <v>57</v>
      </c>
      <c r="C65" s="49">
        <v>-50</v>
      </c>
      <c r="D65" s="49">
        <v>0</v>
      </c>
      <c r="E65" s="49">
        <v>50</v>
      </c>
    </row>
    <row r="66" spans="2:10" x14ac:dyDescent="0.3">
      <c r="B66" s="1" t="s">
        <v>58</v>
      </c>
      <c r="F66" s="26">
        <f>-SUMPRODUCT(C63:E63,C65:E65)</f>
        <v>0</v>
      </c>
    </row>
    <row r="67" spans="2:10" x14ac:dyDescent="0.3">
      <c r="B67" s="1" t="s">
        <v>59</v>
      </c>
      <c r="F67" s="26">
        <f>-SUMPRODUCT(C64:E64,C65:E65)</f>
        <v>-1176.1210226465312</v>
      </c>
    </row>
    <row r="68" spans="2:10" x14ac:dyDescent="0.3">
      <c r="B68" s="1" t="s">
        <v>60</v>
      </c>
      <c r="F68" s="12">
        <f>F66-F67</f>
        <v>1176.1210226465312</v>
      </c>
    </row>
    <row r="69" spans="2:10" x14ac:dyDescent="0.3">
      <c r="B69" s="13" t="str">
        <f>IF(ABS(F68)&lt;0.001,"ΔPatrimônio ≈ 0 neste choque.","Durations casadas, perfis diferentes: a torção vaza por inclinação — ΔPatrimônio de R$ "&amp;TEXT(F68,"#.##0,0")&amp;" mil com gap de duration ZERO. Antídoto: casar por vértice, não só na média.")</f>
        <v>Durations casadas, perfis diferentes: a torção vaza por inclinação — ΔPatrimônio de R$ 1.176,1 mil com gap de duration ZERO. Antídoto: casar por vértice, não só na média.</v>
      </c>
    </row>
    <row r="71" spans="2:10" ht="15.6" x14ac:dyDescent="0.3">
      <c r="B71" s="4" t="s">
        <v>61</v>
      </c>
      <c r="H71" s="23" t="s">
        <v>66</v>
      </c>
      <c r="I71" s="23" t="s">
        <v>67</v>
      </c>
      <c r="J71" s="23" t="s">
        <v>68</v>
      </c>
    </row>
    <row r="72" spans="2:10" x14ac:dyDescent="0.3">
      <c r="B72" s="1" t="s">
        <v>62</v>
      </c>
      <c r="C72" s="50">
        <v>4.3</v>
      </c>
      <c r="H72" s="27">
        <v>-300</v>
      </c>
      <c r="I72" s="26">
        <f>0.5*(MAX($C$72,$C$73)*$C$6-MIN($C$72,$C$73)*$C$8)*(H72/10000)^2*1000</f>
        <v>486</v>
      </c>
      <c r="J72" s="28">
        <f>0.5*(MIN($C$72,$C$73)*$C$6-MAX($C$72,$C$73)*$C$8)*(H72/10000)^2*1000</f>
        <v>-486</v>
      </c>
    </row>
    <row r="73" spans="2:10" x14ac:dyDescent="0.3">
      <c r="B73" s="1" t="s">
        <v>63</v>
      </c>
      <c r="C73" s="50">
        <v>1.6</v>
      </c>
      <c r="H73" s="27">
        <f>H72+50</f>
        <v>-250</v>
      </c>
      <c r="I73" s="26">
        <f t="shared" ref="I73:I84" si="0">0.5*(MAX($C$72,$C$73)*$C$6-MIN($C$72,$C$73)*$C$8)*(H73/10000)^2*1000</f>
        <v>337.50000000000006</v>
      </c>
      <c r="J73" s="28">
        <f t="shared" ref="J73:J84" si="1">0.5*(MIN($C$72,$C$73)*$C$6-MAX($C$72,$C$73)*$C$8)*(H73/10000)^2*1000</f>
        <v>-337.50000000000006</v>
      </c>
    </row>
    <row r="74" spans="2:10" x14ac:dyDescent="0.3">
      <c r="B74" s="1" t="s">
        <v>64</v>
      </c>
      <c r="C74" s="29">
        <f>C72-C73</f>
        <v>2.6999999999999997</v>
      </c>
      <c r="H74" s="27">
        <f t="shared" ref="H74:H84" si="2">H73+50</f>
        <v>-200</v>
      </c>
      <c r="I74" s="26">
        <f t="shared" si="0"/>
        <v>216</v>
      </c>
      <c r="J74" s="28">
        <f t="shared" si="1"/>
        <v>-216</v>
      </c>
    </row>
    <row r="75" spans="2:10" x14ac:dyDescent="0.3">
      <c r="B75" s="21" t="str">
        <f>IF(C72&gt;=C73,"ROBUSTO — C_ativo ≥ C_passivo: com gap de duration zero, o choque paralelo (para qualquer lado) gera patrimônio.","FRÁGIL — vigiar: C_ativo &lt; C_passivo, e aí qualquer choque paralelo destrói patrimônio mesmo com gap de duration zero.")</f>
        <v>ROBUSTO — C_ativo ≥ C_passivo: com gap de duration zero, o choque paralelo (para qualquer lado) gera patrimônio.</v>
      </c>
      <c r="H75" s="27">
        <f t="shared" si="2"/>
        <v>-150</v>
      </c>
      <c r="I75" s="26">
        <f t="shared" si="0"/>
        <v>121.5</v>
      </c>
      <c r="J75" s="28">
        <f t="shared" si="1"/>
        <v>-121.5</v>
      </c>
    </row>
    <row r="76" spans="2:10" x14ac:dyDescent="0.3">
      <c r="B76" s="3" t="s">
        <v>65</v>
      </c>
      <c r="H76" s="27">
        <f t="shared" si="2"/>
        <v>-100</v>
      </c>
      <c r="I76" s="26">
        <f t="shared" si="0"/>
        <v>54</v>
      </c>
      <c r="J76" s="28">
        <f t="shared" si="1"/>
        <v>-54</v>
      </c>
    </row>
    <row r="77" spans="2:10" x14ac:dyDescent="0.3">
      <c r="H77" s="27">
        <f t="shared" si="2"/>
        <v>-50</v>
      </c>
      <c r="I77" s="26">
        <f t="shared" si="0"/>
        <v>13.5</v>
      </c>
      <c r="J77" s="28">
        <f t="shared" si="1"/>
        <v>-13.5</v>
      </c>
    </row>
    <row r="78" spans="2:10" x14ac:dyDescent="0.3">
      <c r="H78" s="27">
        <f t="shared" si="2"/>
        <v>0</v>
      </c>
      <c r="I78" s="26">
        <f t="shared" si="0"/>
        <v>0</v>
      </c>
      <c r="J78" s="28">
        <f t="shared" si="1"/>
        <v>0</v>
      </c>
    </row>
    <row r="79" spans="2:10" x14ac:dyDescent="0.3">
      <c r="H79" s="27">
        <f t="shared" si="2"/>
        <v>50</v>
      </c>
      <c r="I79" s="26">
        <f t="shared" si="0"/>
        <v>13.5</v>
      </c>
      <c r="J79" s="28">
        <f t="shared" si="1"/>
        <v>-13.5</v>
      </c>
    </row>
    <row r="80" spans="2:10" x14ac:dyDescent="0.3">
      <c r="H80" s="27">
        <f t="shared" si="2"/>
        <v>100</v>
      </c>
      <c r="I80" s="26">
        <f t="shared" si="0"/>
        <v>54</v>
      </c>
      <c r="J80" s="28">
        <f t="shared" si="1"/>
        <v>-54</v>
      </c>
    </row>
    <row r="81" spans="2:10" x14ac:dyDescent="0.3">
      <c r="H81" s="27">
        <f t="shared" si="2"/>
        <v>150</v>
      </c>
      <c r="I81" s="26">
        <f t="shared" si="0"/>
        <v>121.5</v>
      </c>
      <c r="J81" s="28">
        <f t="shared" si="1"/>
        <v>-121.5</v>
      </c>
    </row>
    <row r="82" spans="2:10" x14ac:dyDescent="0.3">
      <c r="H82" s="27">
        <f t="shared" si="2"/>
        <v>200</v>
      </c>
      <c r="I82" s="26">
        <f t="shared" si="0"/>
        <v>216</v>
      </c>
      <c r="J82" s="28">
        <f t="shared" si="1"/>
        <v>-216</v>
      </c>
    </row>
    <row r="83" spans="2:10" x14ac:dyDescent="0.3">
      <c r="H83" s="27">
        <f t="shared" si="2"/>
        <v>250</v>
      </c>
      <c r="I83" s="26">
        <f t="shared" si="0"/>
        <v>337.50000000000006</v>
      </c>
      <c r="J83" s="28">
        <f t="shared" si="1"/>
        <v>-337.50000000000006</v>
      </c>
    </row>
    <row r="84" spans="2:10" x14ac:dyDescent="0.3">
      <c r="H84" s="27">
        <f t="shared" si="2"/>
        <v>300</v>
      </c>
      <c r="I84" s="26">
        <f t="shared" si="0"/>
        <v>486</v>
      </c>
      <c r="J84" s="28">
        <f t="shared" si="1"/>
        <v>-486</v>
      </c>
    </row>
    <row r="86" spans="2:10" ht="15.6" x14ac:dyDescent="0.3">
      <c r="B86" s="4" t="s">
        <v>69</v>
      </c>
    </row>
    <row r="87" spans="2:10" x14ac:dyDescent="0.3">
      <c r="B87" s="22" t="s">
        <v>70</v>
      </c>
      <c r="C87" s="22" t="s">
        <v>71</v>
      </c>
      <c r="D87" s="22" t="s">
        <v>72</v>
      </c>
    </row>
    <row r="88" spans="2:10" ht="42" x14ac:dyDescent="0.3">
      <c r="B88" s="1" t="s">
        <v>73</v>
      </c>
      <c r="C88" s="30" t="s">
        <v>74</v>
      </c>
      <c r="D88" s="30" t="s">
        <v>75</v>
      </c>
    </row>
    <row r="89" spans="2:10" ht="28.2" x14ac:dyDescent="0.3">
      <c r="B89" s="1" t="s">
        <v>76</v>
      </c>
      <c r="C89" s="30" t="s">
        <v>77</v>
      </c>
      <c r="D89" s="30" t="s">
        <v>78</v>
      </c>
    </row>
    <row r="90" spans="2:10" ht="28.2" x14ac:dyDescent="0.3">
      <c r="B90" s="1" t="s">
        <v>79</v>
      </c>
      <c r="C90" s="30" t="s">
        <v>80</v>
      </c>
      <c r="D90" s="30" t="s">
        <v>81</v>
      </c>
    </row>
    <row r="91" spans="2:10" x14ac:dyDescent="0.3">
      <c r="B91" s="31" t="s">
        <v>82</v>
      </c>
    </row>
  </sheetData>
  <sheetProtection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CEFE-A17F-4DFD-B0E3-5C81EEE235EB}">
  <dimension ref="A1:Z27"/>
  <sheetViews>
    <sheetView showGridLines="0" workbookViewId="0">
      <selection activeCell="E2" sqref="E2"/>
    </sheetView>
  </sheetViews>
  <sheetFormatPr defaultRowHeight="14.4" outlineLevelCol="1" x14ac:dyDescent="0.3"/>
  <cols>
    <col min="1" max="1" width="2.5546875" style="1" customWidth="1"/>
    <col min="2" max="2" width="79.6640625" style="1" customWidth="1"/>
    <col min="3" max="4" width="20.33203125" style="1" customWidth="1"/>
    <col min="5" max="5" width="44.44140625" style="1" customWidth="1"/>
    <col min="6" max="6" width="88.88671875" style="1" customWidth="1" outlineLevel="1"/>
    <col min="7" max="26" width="8.88671875" style="1"/>
  </cols>
  <sheetData>
    <row r="1" spans="1:6" ht="22.8" x14ac:dyDescent="0.3">
      <c r="A1" s="32"/>
      <c r="B1" s="33" t="s">
        <v>103</v>
      </c>
      <c r="C1" s="32"/>
      <c r="D1" s="32"/>
      <c r="E1" s="32"/>
      <c r="F1" s="32"/>
    </row>
    <row r="2" spans="1:6" ht="43.2" x14ac:dyDescent="0.3">
      <c r="A2" s="32"/>
      <c r="B2" s="34" t="s">
        <v>104</v>
      </c>
      <c r="C2" s="32"/>
      <c r="D2" s="32"/>
      <c r="E2" s="32"/>
      <c r="F2" s="32"/>
    </row>
    <row r="3" spans="1:6" x14ac:dyDescent="0.3">
      <c r="A3" s="32"/>
      <c r="B3" s="32"/>
      <c r="C3" s="32"/>
      <c r="D3" s="32"/>
      <c r="E3" s="32"/>
      <c r="F3" s="32"/>
    </row>
    <row r="4" spans="1:6" x14ac:dyDescent="0.3">
      <c r="A4" s="32"/>
      <c r="B4" s="35" t="s">
        <v>105</v>
      </c>
      <c r="C4" s="36" t="s">
        <v>106</v>
      </c>
      <c r="D4" s="36" t="s">
        <v>107</v>
      </c>
      <c r="E4" s="36" t="s">
        <v>17</v>
      </c>
      <c r="F4" s="37" t="s">
        <v>108</v>
      </c>
    </row>
    <row r="5" spans="1:6" x14ac:dyDescent="0.3">
      <c r="A5" s="32"/>
      <c r="B5" s="32"/>
      <c r="C5" s="32"/>
      <c r="D5" s="32"/>
      <c r="E5" s="32"/>
      <c r="F5" s="5"/>
    </row>
    <row r="6" spans="1:6" ht="27.6" x14ac:dyDescent="0.3">
      <c r="A6" s="32"/>
      <c r="B6" s="37" t="s">
        <v>109</v>
      </c>
      <c r="C6" s="32"/>
      <c r="D6" s="32"/>
      <c r="E6" s="32"/>
      <c r="F6" s="5"/>
    </row>
    <row r="7" spans="1:6" ht="27.6" x14ac:dyDescent="0.3">
      <c r="A7" s="32"/>
      <c r="B7" s="5" t="s">
        <v>110</v>
      </c>
      <c r="C7" s="51"/>
      <c r="D7" s="38">
        <f>Simulador!C12</f>
        <v>0.57999999999999996</v>
      </c>
      <c r="E7" s="39" t="str">
        <f>IF(C7="","—",IF(ABS(C7-D7)&lt;=0.01,"✔ correto","✖ revise"))</f>
        <v>—</v>
      </c>
      <c r="F7" s="5" t="s">
        <v>113</v>
      </c>
    </row>
    <row r="8" spans="1:6" x14ac:dyDescent="0.3">
      <c r="A8" s="32"/>
      <c r="B8" s="5" t="s">
        <v>111</v>
      </c>
      <c r="C8" s="52"/>
      <c r="D8" s="40">
        <f>Simulador!C13</f>
        <v>23.200000000000003</v>
      </c>
      <c r="E8" s="39" t="str">
        <f>IF(C8="","—",IF(ABS(C8-D8)&lt;=0.3,"✔ correto","✖ revise"))</f>
        <v>—</v>
      </c>
      <c r="F8" s="5"/>
    </row>
    <row r="9" spans="1:6" x14ac:dyDescent="0.3">
      <c r="A9" s="32"/>
      <c r="B9" s="5" t="s">
        <v>112</v>
      </c>
      <c r="C9" s="53"/>
      <c r="D9" s="41" t="str">
        <f>IF(Simulador!C13&gt;0,"alta","queda")</f>
        <v>alta</v>
      </c>
      <c r="E9" s="39" t="str">
        <f>IF(C9="","—",IF(LOWER(TRIM(C9))=D9,"✔ correto","✖ revise"))</f>
        <v>—</v>
      </c>
      <c r="F9" s="5"/>
    </row>
    <row r="10" spans="1:6" x14ac:dyDescent="0.3">
      <c r="A10" s="32"/>
      <c r="B10" s="5"/>
      <c r="C10" s="32"/>
      <c r="D10" s="32"/>
      <c r="E10" s="32"/>
      <c r="F10" s="5"/>
    </row>
    <row r="11" spans="1:6" ht="27.6" x14ac:dyDescent="0.3">
      <c r="A11" s="32"/>
      <c r="B11" s="37" t="s">
        <v>114</v>
      </c>
      <c r="C11" s="32"/>
      <c r="D11" s="32"/>
      <c r="E11" s="32"/>
      <c r="F11" s="5"/>
    </row>
    <row r="12" spans="1:6" ht="41.4" x14ac:dyDescent="0.3">
      <c r="A12" s="32"/>
      <c r="B12" s="5" t="s">
        <v>115</v>
      </c>
      <c r="C12" s="54"/>
      <c r="D12" s="42">
        <f>Simulador!C19</f>
        <v>1.3132075471698113</v>
      </c>
      <c r="E12" s="39" t="str">
        <f>IF(C12="","—",IF(ABS(C12-D12)&lt;=0.01,"✔ correto","✖ revise"))</f>
        <v>—</v>
      </c>
      <c r="F12" s="5" t="s">
        <v>117</v>
      </c>
    </row>
    <row r="13" spans="1:6" x14ac:dyDescent="0.3">
      <c r="A13" s="32"/>
      <c r="B13" s="5" t="s">
        <v>116</v>
      </c>
      <c r="C13" s="54"/>
      <c r="D13" s="42">
        <f>Simulador!C20</f>
        <v>-0.31320754716981125</v>
      </c>
      <c r="E13" s="39" t="str">
        <f>IF(C13="","—",IF(ABS(C13-D13)&lt;=0.01,"✔ correto","✖ revise"))</f>
        <v>—</v>
      </c>
      <c r="F13" s="5"/>
    </row>
    <row r="14" spans="1:6" x14ac:dyDescent="0.3">
      <c r="A14" s="32"/>
      <c r="B14" s="5"/>
      <c r="C14" s="32"/>
      <c r="D14" s="32"/>
      <c r="E14" s="32"/>
      <c r="F14" s="5"/>
    </row>
    <row r="15" spans="1:6" ht="27.6" x14ac:dyDescent="0.3">
      <c r="A15" s="32"/>
      <c r="B15" s="37" t="s">
        <v>118</v>
      </c>
      <c r="C15" s="32"/>
      <c r="D15" s="32"/>
      <c r="E15" s="32"/>
      <c r="F15" s="5"/>
    </row>
    <row r="16" spans="1:6" ht="27.6" x14ac:dyDescent="0.3">
      <c r="A16" s="32"/>
      <c r="B16" s="5" t="s">
        <v>119</v>
      </c>
      <c r="C16" s="55"/>
      <c r="D16" s="43">
        <f>Simulador!C49</f>
        <v>-15459.228206348611</v>
      </c>
      <c r="E16" s="39" t="str">
        <f>IF(C16="","—",IF(ABS(C16-D16)&lt;=200,"✔ correto","✖ revise"))</f>
        <v>—</v>
      </c>
      <c r="F16" s="5" t="s">
        <v>121</v>
      </c>
    </row>
    <row r="17" spans="1:6" x14ac:dyDescent="0.3">
      <c r="A17" s="32"/>
      <c r="B17" s="5" t="s">
        <v>120</v>
      </c>
      <c r="C17" s="53"/>
      <c r="D17" s="41" t="str">
        <f>IF(ABS(Simulador!C49)&gt;Simulador!C40,"sim","nao")</f>
        <v>sim</v>
      </c>
      <c r="E17" s="39" t="str">
        <f>IF(C17="","—",IF(SUBSTITUTE(LOWER(TRIM(C17)),"ã","a")=D17,"✔ correto","✖ revise"))</f>
        <v>—</v>
      </c>
      <c r="F17" s="5"/>
    </row>
    <row r="18" spans="1:6" x14ac:dyDescent="0.3">
      <c r="A18" s="32"/>
      <c r="B18" s="5"/>
      <c r="C18" s="32"/>
      <c r="D18" s="32"/>
      <c r="E18" s="32"/>
      <c r="F18" s="5"/>
    </row>
    <row r="19" spans="1:6" ht="27.6" x14ac:dyDescent="0.3">
      <c r="A19" s="32"/>
      <c r="B19" s="37" t="s">
        <v>122</v>
      </c>
      <c r="C19" s="32"/>
      <c r="D19" s="32"/>
      <c r="E19" s="32"/>
      <c r="F19" s="5"/>
    </row>
    <row r="20" spans="1:6" ht="41.4" x14ac:dyDescent="0.3">
      <c r="A20" s="32"/>
      <c r="B20" s="5" t="s">
        <v>123</v>
      </c>
      <c r="C20" s="52"/>
      <c r="D20" s="44">
        <f>Simulador!F68</f>
        <v>1176.1210226465312</v>
      </c>
      <c r="E20" s="39" t="str">
        <f>IF(C20="","—",IF(ABS(C20-D20)&lt;=25,"✔ correto","✖ revise"))</f>
        <v>—</v>
      </c>
      <c r="F20" s="5" t="s">
        <v>125</v>
      </c>
    </row>
    <row r="21" spans="1:6" x14ac:dyDescent="0.3">
      <c r="A21" s="32"/>
      <c r="B21" s="5" t="s">
        <v>124</v>
      </c>
      <c r="C21" s="53"/>
      <c r="D21" s="41" t="str">
        <f>IF(Simulador!F68&gt;0,"abre","fecha")</f>
        <v>abre</v>
      </c>
      <c r="E21" s="39" t="str">
        <f>IF(C21="","—",IF(LOWER(TRIM(C21))=D21,"✔ correto","✖ revise"))</f>
        <v>—</v>
      </c>
      <c r="F21" s="5"/>
    </row>
    <row r="22" spans="1:6" x14ac:dyDescent="0.3">
      <c r="A22" s="32"/>
      <c r="B22" s="5"/>
      <c r="C22" s="32"/>
      <c r="D22" s="32"/>
      <c r="E22" s="32"/>
      <c r="F22" s="5"/>
    </row>
    <row r="23" spans="1:6" ht="27.6" x14ac:dyDescent="0.3">
      <c r="A23" s="32"/>
      <c r="B23" s="37" t="s">
        <v>126</v>
      </c>
      <c r="C23" s="32"/>
      <c r="D23" s="32"/>
      <c r="E23" s="32"/>
      <c r="F23" s="5"/>
    </row>
    <row r="24" spans="1:6" ht="55.2" x14ac:dyDescent="0.3">
      <c r="A24" s="32"/>
      <c r="B24" s="5" t="s">
        <v>127</v>
      </c>
      <c r="C24" s="53"/>
      <c r="D24" s="41" t="s">
        <v>128</v>
      </c>
      <c r="E24" s="39" t="str">
        <f>IF(C24="","—",IF(SUBSTITUTE(LOWER(TRIM(C24)),"ã","a")=D24,"✔ correto","✖ revise"))</f>
        <v>—</v>
      </c>
      <c r="F24" s="5" t="s">
        <v>129</v>
      </c>
    </row>
    <row r="25" spans="1:6" x14ac:dyDescent="0.3">
      <c r="A25" s="32"/>
      <c r="B25" s="5"/>
      <c r="C25" s="32"/>
      <c r="D25" s="32"/>
      <c r="E25" s="32"/>
      <c r="F25" s="5"/>
    </row>
    <row r="26" spans="1:6" ht="27.6" x14ac:dyDescent="0.3">
      <c r="A26" s="32"/>
      <c r="B26" s="37" t="s">
        <v>130</v>
      </c>
      <c r="C26" s="32"/>
      <c r="D26" s="32"/>
      <c r="E26" s="32"/>
      <c r="F26" s="5"/>
    </row>
    <row r="27" spans="1:6" ht="55.2" x14ac:dyDescent="0.3">
      <c r="A27" s="32"/>
      <c r="B27" s="5" t="s">
        <v>131</v>
      </c>
      <c r="C27" s="56"/>
      <c r="D27" s="41" t="s">
        <v>132</v>
      </c>
      <c r="E27" s="39" t="str">
        <f>IF(LEN(TRIM(C27))&lt;30,"— escreva sua resposta","Registrada — compare com a resposta-modelo (coluna F)")</f>
        <v>— escreva sua resposta</v>
      </c>
      <c r="F27" s="5" t="s">
        <v>133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BFFE-6EE3-41F9-B2E0-4526059B198C}">
  <dimension ref="A1:Z62"/>
  <sheetViews>
    <sheetView showGridLines="0" topLeftCell="A12" workbookViewId="0"/>
  </sheetViews>
  <sheetFormatPr defaultRowHeight="14.4" x14ac:dyDescent="0.3"/>
  <cols>
    <col min="1" max="1" width="2.5546875" style="1" customWidth="1"/>
    <col min="2" max="2" width="166.6640625" style="1" customWidth="1"/>
    <col min="3" max="26" width="8.88671875" style="1"/>
  </cols>
  <sheetData>
    <row r="1" spans="2:26" ht="22.8" x14ac:dyDescent="0.4">
      <c r="B1" s="2" t="s">
        <v>191</v>
      </c>
      <c r="Z1"/>
    </row>
    <row r="2" spans="2:26" x14ac:dyDescent="0.3">
      <c r="B2" s="3" t="s">
        <v>192</v>
      </c>
      <c r="Z2"/>
    </row>
    <row r="3" spans="2:26" x14ac:dyDescent="0.3">
      <c r="Z3"/>
    </row>
    <row r="4" spans="2:26" x14ac:dyDescent="0.3">
      <c r="B4" s="5" t="s">
        <v>134</v>
      </c>
      <c r="Z4"/>
    </row>
    <row r="5" spans="2:26" ht="27.6" x14ac:dyDescent="0.3">
      <c r="B5" s="5" t="s">
        <v>135</v>
      </c>
      <c r="Z5"/>
    </row>
    <row r="6" spans="2:26" x14ac:dyDescent="0.3">
      <c r="B6" s="5" t="s">
        <v>136</v>
      </c>
      <c r="Z6"/>
    </row>
    <row r="7" spans="2:26" x14ac:dyDescent="0.3">
      <c r="B7" s="5" t="s">
        <v>137</v>
      </c>
      <c r="Z7"/>
    </row>
    <row r="8" spans="2:26" ht="27.6" x14ac:dyDescent="0.3">
      <c r="B8" s="5" t="s">
        <v>138</v>
      </c>
      <c r="Z8"/>
    </row>
    <row r="9" spans="2:26" x14ac:dyDescent="0.3">
      <c r="B9" s="5" t="s">
        <v>139</v>
      </c>
      <c r="Z9"/>
    </row>
    <row r="10" spans="2:26" x14ac:dyDescent="0.3">
      <c r="B10" s="5" t="s">
        <v>140</v>
      </c>
      <c r="Z10"/>
    </row>
    <row r="11" spans="2:26" x14ac:dyDescent="0.3">
      <c r="B11" s="5" t="s">
        <v>141</v>
      </c>
      <c r="Z11"/>
    </row>
    <row r="12" spans="2:26" ht="27.6" x14ac:dyDescent="0.3">
      <c r="B12" s="5" t="s">
        <v>142</v>
      </c>
      <c r="Z12"/>
    </row>
    <row r="13" spans="2:26" x14ac:dyDescent="0.3">
      <c r="B13" s="5" t="s">
        <v>143</v>
      </c>
    </row>
    <row r="14" spans="2:26" x14ac:dyDescent="0.3">
      <c r="B14" s="5" t="s">
        <v>144</v>
      </c>
    </row>
    <row r="15" spans="2:26" x14ac:dyDescent="0.3">
      <c r="B15" s="5" t="s">
        <v>145</v>
      </c>
    </row>
    <row r="16" spans="2:26" ht="27.6" x14ac:dyDescent="0.3">
      <c r="B16" s="5" t="s">
        <v>146</v>
      </c>
    </row>
    <row r="17" spans="2:2" x14ac:dyDescent="0.3">
      <c r="B17" s="5" t="s">
        <v>147</v>
      </c>
    </row>
    <row r="18" spans="2:2" ht="27.6" x14ac:dyDescent="0.3">
      <c r="B18" s="5" t="s">
        <v>148</v>
      </c>
    </row>
    <row r="19" spans="2:2" x14ac:dyDescent="0.3">
      <c r="B19" s="5" t="s">
        <v>149</v>
      </c>
    </row>
    <row r="20" spans="2:2" ht="27.6" x14ac:dyDescent="0.3">
      <c r="B20" s="5" t="s">
        <v>150</v>
      </c>
    </row>
    <row r="21" spans="2:2" ht="27.6" x14ac:dyDescent="0.3">
      <c r="B21" s="5" t="s">
        <v>150</v>
      </c>
    </row>
    <row r="22" spans="2:2" x14ac:dyDescent="0.3">
      <c r="B22" s="5" t="s">
        <v>151</v>
      </c>
    </row>
    <row r="23" spans="2:2" x14ac:dyDescent="0.3">
      <c r="B23" s="5" t="e" cm="1">
        <f t="array" ref="B23">- Aviso de dados ilustrativos.</f>
        <v>#NAME?</v>
      </c>
    </row>
    <row r="24" spans="2:2" x14ac:dyDescent="0.3">
      <c r="B24" s="5" t="s">
        <v>152</v>
      </c>
    </row>
    <row r="25" spans="2:2" x14ac:dyDescent="0.3">
      <c r="B25" s="5" t="s">
        <v>153</v>
      </c>
    </row>
    <row r="26" spans="2:2" x14ac:dyDescent="0.3">
      <c r="B26" s="5" t="s">
        <v>154</v>
      </c>
    </row>
    <row r="27" spans="2:2" x14ac:dyDescent="0.3">
      <c r="B27" s="5" t="s">
        <v>155</v>
      </c>
    </row>
    <row r="28" spans="2:2" x14ac:dyDescent="0.3">
      <c r="B28" s="5" t="s">
        <v>156</v>
      </c>
    </row>
    <row r="29" spans="2:2" x14ac:dyDescent="0.3">
      <c r="B29" s="5" t="s">
        <v>157</v>
      </c>
    </row>
    <row r="30" spans="2:2" x14ac:dyDescent="0.3">
      <c r="B30" s="5" t="s">
        <v>158</v>
      </c>
    </row>
    <row r="31" spans="2:2" x14ac:dyDescent="0.3">
      <c r="B31" s="5" t="s">
        <v>159</v>
      </c>
    </row>
    <row r="32" spans="2:2" ht="27.6" x14ac:dyDescent="0.3">
      <c r="B32" s="5" t="s">
        <v>160</v>
      </c>
    </row>
    <row r="33" spans="2:2" x14ac:dyDescent="0.3">
      <c r="B33" s="5" t="s">
        <v>161</v>
      </c>
    </row>
    <row r="34" spans="2:2" x14ac:dyDescent="0.3">
      <c r="B34" s="5" t="s">
        <v>162</v>
      </c>
    </row>
    <row r="35" spans="2:2" x14ac:dyDescent="0.3">
      <c r="B35" s="5" t="s">
        <v>163</v>
      </c>
    </row>
    <row r="36" spans="2:2" ht="27.6" x14ac:dyDescent="0.3">
      <c r="B36" s="5" t="s">
        <v>164</v>
      </c>
    </row>
    <row r="37" spans="2:2" x14ac:dyDescent="0.3">
      <c r="B37" s="5" t="s">
        <v>165</v>
      </c>
    </row>
    <row r="38" spans="2:2" ht="27.6" x14ac:dyDescent="0.3">
      <c r="B38" s="5" t="s">
        <v>166</v>
      </c>
    </row>
    <row r="39" spans="2:2" ht="27.6" x14ac:dyDescent="0.3">
      <c r="B39" s="5" t="s">
        <v>167</v>
      </c>
    </row>
    <row r="40" spans="2:2" x14ac:dyDescent="0.3">
      <c r="B40" s="5" t="s">
        <v>168</v>
      </c>
    </row>
    <row r="41" spans="2:2" x14ac:dyDescent="0.3">
      <c r="B41" s="5" t="s">
        <v>169</v>
      </c>
    </row>
    <row r="42" spans="2:2" ht="41.4" x14ac:dyDescent="0.3">
      <c r="B42" s="5" t="s">
        <v>170</v>
      </c>
    </row>
    <row r="43" spans="2:2" x14ac:dyDescent="0.3">
      <c r="B43" s="5" t="s">
        <v>171</v>
      </c>
    </row>
    <row r="44" spans="2:2" x14ac:dyDescent="0.3">
      <c r="B44" s="5" t="s">
        <v>172</v>
      </c>
    </row>
    <row r="45" spans="2:2" ht="41.4" x14ac:dyDescent="0.3">
      <c r="B45" s="5" t="s">
        <v>173</v>
      </c>
    </row>
    <row r="46" spans="2:2" x14ac:dyDescent="0.3">
      <c r="B46" s="5" t="s">
        <v>174</v>
      </c>
    </row>
    <row r="47" spans="2:2" x14ac:dyDescent="0.3">
      <c r="B47" s="5" t="s">
        <v>175</v>
      </c>
    </row>
    <row r="48" spans="2:2" x14ac:dyDescent="0.3">
      <c r="B48" s="5" t="s">
        <v>176</v>
      </c>
    </row>
    <row r="49" spans="2:2" x14ac:dyDescent="0.3">
      <c r="B49" s="5" t="s">
        <v>177</v>
      </c>
    </row>
    <row r="50" spans="2:2" x14ac:dyDescent="0.3">
      <c r="B50" s="5" t="s">
        <v>178</v>
      </c>
    </row>
    <row r="51" spans="2:2" ht="41.4" x14ac:dyDescent="0.3">
      <c r="B51" s="5" t="s">
        <v>179</v>
      </c>
    </row>
    <row r="52" spans="2:2" x14ac:dyDescent="0.3">
      <c r="B52" s="5" t="s">
        <v>180</v>
      </c>
    </row>
    <row r="53" spans="2:2" ht="27.6" x14ac:dyDescent="0.3">
      <c r="B53" s="5" t="s">
        <v>181</v>
      </c>
    </row>
    <row r="54" spans="2:2" ht="27.6" x14ac:dyDescent="0.3">
      <c r="B54" s="5" t="s">
        <v>182</v>
      </c>
    </row>
    <row r="55" spans="2:2" ht="27.6" x14ac:dyDescent="0.3">
      <c r="B55" s="5" t="s">
        <v>183</v>
      </c>
    </row>
    <row r="56" spans="2:2" x14ac:dyDescent="0.3">
      <c r="B56" s="5" t="s">
        <v>184</v>
      </c>
    </row>
    <row r="57" spans="2:2" x14ac:dyDescent="0.3">
      <c r="B57" s="5" t="s">
        <v>185</v>
      </c>
    </row>
    <row r="58" spans="2:2" x14ac:dyDescent="0.3">
      <c r="B58" s="5" t="s">
        <v>186</v>
      </c>
    </row>
    <row r="59" spans="2:2" x14ac:dyDescent="0.3">
      <c r="B59" s="5" t="s">
        <v>187</v>
      </c>
    </row>
    <row r="60" spans="2:2" x14ac:dyDescent="0.3">
      <c r="B60" s="5" t="s">
        <v>188</v>
      </c>
    </row>
    <row r="61" spans="2:2" x14ac:dyDescent="0.3">
      <c r="B61" s="5" t="s">
        <v>189</v>
      </c>
    </row>
    <row r="62" spans="2:2" x14ac:dyDescent="0.3">
      <c r="B62" s="5" t="s">
        <v>190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2026-08-13T17:40:54Z</dcterms:created>
  <dcterms:modified xsi:type="dcterms:W3CDTF">2026-08-31T18:05:25Z</dcterms:modified>
</cp:coreProperties>
</file>