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B734D9A9-89EF-4A11-9BD6-05525E2F8D4A}" xr6:coauthVersionLast="47" xr6:coauthVersionMax="47" xr10:uidLastSave="{00000000-0000-0000-0000-000000000000}"/>
  <bookViews>
    <workbookView xWindow="-108" yWindow="-108" windowWidth="23256" windowHeight="12456" activeTab="2" xr2:uid="{90E8659C-56B0-4427-AC48-5EE06BA62298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3" l="1"/>
  <c r="E16" i="3"/>
  <c r="D16" i="3"/>
  <c r="E15" i="3"/>
  <c r="E14" i="3"/>
  <c r="E13" i="3"/>
  <c r="E12" i="3"/>
  <c r="E11" i="3"/>
  <c r="E10" i="3"/>
  <c r="E9" i="3"/>
  <c r="E8" i="3"/>
  <c r="E7" i="3"/>
  <c r="E6" i="3"/>
  <c r="D6" i="3"/>
  <c r="E5" i="3"/>
  <c r="A123" i="2"/>
  <c r="A124" i="2"/>
  <c r="A125" i="2"/>
  <c r="A126" i="2"/>
  <c r="A127" i="2"/>
  <c r="A114" i="2"/>
  <c r="C114" i="2"/>
  <c r="A115" i="2"/>
  <c r="C115" i="2"/>
  <c r="A116" i="2"/>
  <c r="C116" i="2"/>
  <c r="A117" i="2"/>
  <c r="C117" i="2"/>
  <c r="A118" i="2"/>
  <c r="C118" i="2"/>
  <c r="A119" i="2"/>
  <c r="C119" i="2"/>
  <c r="B98" i="2"/>
  <c r="F94" i="2"/>
  <c r="B90" i="2"/>
  <c r="C90" i="2" s="1"/>
  <c r="D90" i="2" s="1"/>
  <c r="K90" i="2" s="1"/>
  <c r="I90" i="2" s="1"/>
  <c r="E90" i="2"/>
  <c r="B91" i="2"/>
  <c r="C91" i="2"/>
  <c r="D91" i="2" s="1"/>
  <c r="K91" i="2" s="1"/>
  <c r="B92" i="2"/>
  <c r="B93" i="2"/>
  <c r="C93" i="2"/>
  <c r="D93" i="2" s="1"/>
  <c r="K93" i="2" s="1"/>
  <c r="B86" i="2"/>
  <c r="B74" i="2"/>
  <c r="B59" i="2"/>
  <c r="B56" i="2"/>
  <c r="B55" i="2"/>
  <c r="B54" i="2"/>
  <c r="A42" i="2"/>
  <c r="D42" i="2" a="1"/>
  <c r="D42" i="2" s="1"/>
  <c r="A43" i="2"/>
  <c r="D43" i="2" a="1"/>
  <c r="D43" i="2" s="1"/>
  <c r="E43" i="2" a="1"/>
  <c r="E43" i="2" s="1"/>
  <c r="A44" i="2"/>
  <c r="D44" i="2" a="1"/>
  <c r="D44" i="2" s="1"/>
  <c r="A45" i="2"/>
  <c r="D45" i="2" a="1"/>
  <c r="D45" i="2" s="1"/>
  <c r="E45" i="2" a="1"/>
  <c r="E45" i="2" s="1"/>
  <c r="A46" i="2"/>
  <c r="D46" i="2" a="1"/>
  <c r="D46" i="2" s="1"/>
  <c r="A47" i="2"/>
  <c r="D47" i="2" a="1"/>
  <c r="D47" i="2" s="1"/>
  <c r="E47" i="2" a="1"/>
  <c r="E47" i="2" s="1"/>
  <c r="C27" i="2" a="1"/>
  <c r="C27" i="2" s="1"/>
  <c r="D27" i="2" a="1"/>
  <c r="D27" i="2" s="1"/>
  <c r="A28" i="2" s="1"/>
  <c r="E27" i="2" a="1"/>
  <c r="E27" i="2" s="1"/>
  <c r="B27" i="2" a="1"/>
  <c r="B27" i="2" s="1"/>
  <c r="D10" i="3" s="1"/>
  <c r="D26" i="2"/>
  <c r="E26" i="2"/>
  <c r="B26" i="2"/>
  <c r="C25" i="2" a="1"/>
  <c r="C25" i="2" s="1"/>
  <c r="D25" i="2" a="1"/>
  <c r="D25" i="2" s="1"/>
  <c r="E25" i="2" a="1"/>
  <c r="E25" i="2" s="1"/>
  <c r="B25" i="2" a="1"/>
  <c r="B25" i="2"/>
  <c r="B22" i="2"/>
  <c r="C22" i="2"/>
  <c r="D22" i="2" s="1"/>
  <c r="D9" i="3" s="1"/>
  <c r="B21" i="2"/>
  <c r="C21" i="2"/>
  <c r="B18" i="2"/>
  <c r="B17" i="2" a="1"/>
  <c r="B17" i="2" s="1"/>
  <c r="B16" i="2" a="1"/>
  <c r="B16" i="2" s="1"/>
  <c r="L7" i="2" a="1"/>
  <c r="L7" i="2" s="1"/>
  <c r="M7" i="2" s="1"/>
  <c r="B73" i="2" s="1"/>
  <c r="L8" i="2" a="1"/>
  <c r="L8" i="2" s="1"/>
  <c r="M8" i="2" s="1"/>
  <c r="L9" i="2" a="1"/>
  <c r="L9" i="2" s="1"/>
  <c r="M9" i="2" s="1"/>
  <c r="L10" i="2" a="1"/>
  <c r="L10" i="2" s="1"/>
  <c r="M10" i="2" s="1"/>
  <c r="L11" i="2" a="1"/>
  <c r="L11" i="2" s="1"/>
  <c r="M11" i="2" s="1"/>
  <c r="L6" i="2" a="1"/>
  <c r="L6" i="2" s="1"/>
  <c r="M6" i="2" s="1"/>
  <c r="B75" i="2" s="1"/>
  <c r="K7" i="2"/>
  <c r="K8" i="2"/>
  <c r="K9" i="2"/>
  <c r="K10" i="2"/>
  <c r="K11" i="2"/>
  <c r="E44" i="2" s="1" a="1"/>
  <c r="E44" i="2" s="1"/>
  <c r="K6" i="2"/>
  <c r="E42" i="2" s="1" a="1"/>
  <c r="E42" i="2" s="1"/>
  <c r="J6" i="2"/>
  <c r="J7" i="2"/>
  <c r="J8" i="2"/>
  <c r="J9" i="2"/>
  <c r="J10" i="2"/>
  <c r="J11" i="2"/>
  <c r="B45" i="2" l="1"/>
  <c r="B117" i="2" s="1"/>
  <c r="B47" i="2"/>
  <c r="B119" i="2" s="1"/>
  <c r="B43" i="2"/>
  <c r="B115" i="2" s="1"/>
  <c r="B76" i="2"/>
  <c r="A77" i="2" s="1"/>
  <c r="F43" i="2"/>
  <c r="B46" i="2"/>
  <c r="B118" i="2" s="1"/>
  <c r="D21" i="2"/>
  <c r="F45" i="2"/>
  <c r="C26" i="2"/>
  <c r="C42" i="2" s="1"/>
  <c r="D12" i="3" s="1"/>
  <c r="B42" i="2"/>
  <c r="F47" i="2"/>
  <c r="B44" i="2"/>
  <c r="B116" i="2" s="1"/>
  <c r="I91" i="2"/>
  <c r="F90" i="2"/>
  <c r="E91" i="2" s="1"/>
  <c r="C92" i="2"/>
  <c r="D92" i="2" s="1"/>
  <c r="K92" i="2" s="1"/>
  <c r="I92" i="2" s="1"/>
  <c r="I93" i="2" s="1"/>
  <c r="J90" i="2"/>
  <c r="J91" i="2" s="1"/>
  <c r="J92" i="2" s="1"/>
  <c r="J93" i="2" s="1"/>
  <c r="C46" i="2"/>
  <c r="E46" i="2" a="1"/>
  <c r="E46" i="2" s="1"/>
  <c r="D5" i="3" l="1"/>
  <c r="B114" i="2"/>
  <c r="A60" i="2"/>
  <c r="B107" i="2" a="1"/>
  <c r="B107" i="2" s="1"/>
  <c r="C47" i="2"/>
  <c r="F42" i="2"/>
  <c r="B49" i="2" s="1"/>
  <c r="F65" i="2"/>
  <c r="C68" i="2"/>
  <c r="B66" i="2"/>
  <c r="D68" i="2"/>
  <c r="B126" i="2" s="1"/>
  <c r="C66" i="2"/>
  <c r="E68" i="2"/>
  <c r="F67" i="2"/>
  <c r="D66" i="2"/>
  <c r="B124" i="2" s="1"/>
  <c r="F68" i="2"/>
  <c r="F66" i="2"/>
  <c r="C69" i="2"/>
  <c r="B67" i="2"/>
  <c r="C67" i="2"/>
  <c r="E69" i="2"/>
  <c r="C65" i="2"/>
  <c r="E67" i="2"/>
  <c r="E66" i="2"/>
  <c r="B69" i="2"/>
  <c r="B65" i="2"/>
  <c r="D67" i="2"/>
  <c r="B125" i="2" s="1"/>
  <c r="F69" i="2"/>
  <c r="D65" i="2"/>
  <c r="B123" i="2" s="1"/>
  <c r="E65" i="2"/>
  <c r="B68" i="2"/>
  <c r="B57" i="2"/>
  <c r="D11" i="3" s="1"/>
  <c r="D69" i="2"/>
  <c r="B127" i="2" s="1"/>
  <c r="C45" i="2"/>
  <c r="C43" i="2"/>
  <c r="F46" i="2"/>
  <c r="C44" i="2"/>
  <c r="F44" i="2"/>
  <c r="B99" i="2"/>
  <c r="F91" i="2"/>
  <c r="G91" i="2" s="1"/>
  <c r="H91" i="2" s="1"/>
  <c r="G90" i="2"/>
  <c r="H90" i="2" s="1"/>
  <c r="A48" i="2" l="1" a="1"/>
  <c r="A48" i="2" s="1"/>
  <c r="D7" i="3"/>
  <c r="B101" i="2" a="1"/>
  <c r="B101" i="2" s="1"/>
  <c r="B100" i="2" a="1"/>
  <c r="B100" i="2" s="1"/>
  <c r="E92" i="2"/>
  <c r="B97" i="2" l="1" a="1"/>
  <c r="B97" i="2" s="1"/>
  <c r="F92" i="2"/>
  <c r="G92" i="2" s="1"/>
  <c r="H92" i="2" s="1"/>
  <c r="E93" i="2" l="1"/>
  <c r="F93" i="2" s="1"/>
  <c r="G93" i="2" s="1"/>
  <c r="H93" i="2" s="1"/>
  <c r="H94" i="2" s="1"/>
  <c r="A103" i="2" l="1"/>
  <c r="B95" i="2"/>
  <c r="B9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<sst xmlns="http://schemas.openxmlformats.org/spreadsheetml/2006/main" count="372" uniqueCount="346">
  <si>
    <t>Simulador 11 · ΔEVE × ΔNII — a dor no valor e a dor no resultado</t>
  </si>
  <si>
    <t>Módulo 4, Bloco 4 (4.1–4.6) · Operações de Tesouraria em Instituições Financeiras · Células azuis são editáveis; o resto está bloqueado.</t>
  </si>
  <si>
    <t>1 · O BALANÇO DO CASO (Módulo 4, slide 3 — DV01s idênticos aos do Simulador 7)</t>
  </si>
  <si>
    <t>Posição</t>
  </si>
  <si>
    <t>Lado</t>
  </si>
  <si>
    <t>Vért. DV01 (du)</t>
  </si>
  <si>
    <t>Vért. repricing (du)</t>
  </si>
  <si>
    <t>Saldo (R$ mi)</t>
  </si>
  <si>
    <t>DV01 juros (R$/bp)</t>
  </si>
  <si>
    <t>DV01 spread (R$/bp)</t>
  </si>
  <si>
    <t>Fator de tempo</t>
  </si>
  <si>
    <t>Livro</t>
  </si>
  <si>
    <t>Sinal</t>
  </si>
  <si>
    <t>Sinal comport.</t>
  </si>
  <si>
    <t>Δbps no vért. DV01 (cen. selec.)</t>
  </si>
  <si>
    <t>ΔMtM do cen. selec. (R$ mi)</t>
  </si>
  <si>
    <t>LTN 252 du</t>
  </si>
  <si>
    <t>Ativo</t>
  </si>
  <si>
    <t>trading</t>
  </si>
  <si>
    <t>NTN-F 504 du</t>
  </si>
  <si>
    <t>n/a</t>
  </si>
  <si>
    <t>LFT 1.260 du</t>
  </si>
  <si>
    <t>banking</t>
  </si>
  <si>
    <t>LF CDI + 0,90</t>
  </si>
  <si>
    <t>CDB liquidez diária</t>
  </si>
  <si>
    <t>Passivo</t>
  </si>
  <si>
    <t>LF emitida 24m</t>
  </si>
  <si>
    <t>Distinção obrigatória: o VÉRTICE DE DV01 é onde mora a sensibilidade de preço (na LF CDI+, o prazo do spread: 504 du). O VÉRTICE DE REPRICING é onde a taxa do papel se redefine (em qualquer pós-fixado em CDI, o overnight = 0). Confundir as duas faz o ΔEVE certo e o ΔNII errado.</t>
  </si>
  <si>
    <t>Fator de tempo = fração do ano em que a nova taxa vigora. A LTN tem fator 0,00 porque vence exatamente ao fim do horizonte de 12 meses: repreça, mas não gera receita nova dentro da janela. É célula azul — vale mexer nela em aula.</t>
  </si>
  <si>
    <t>Gap de reprecificação no overnight — o motor inteiro do ΔNII</t>
  </si>
  <si>
    <t>Ativos sensíveis no ON (R$ mi)</t>
  </si>
  <si>
    <t>Passivos sensíveis no ON (R$ mi)</t>
  </si>
  <si>
    <t>Gap de reprecificação (ativos − passivos, R$ mi)</t>
  </si>
  <si>
    <t>DV01 (R$/bp) — as duas colunas nunca se misturam</t>
  </si>
  <si>
    <t>Líquido</t>
  </si>
  <si>
    <t>DV01 de juros</t>
  </si>
  <si>
    <t>DV01 de spread</t>
  </si>
  <si>
    <t>Perfil líquido por vértice (R$/bp)</t>
  </si>
  <si>
    <t>DV01 de juros líquido — hipótese contratual</t>
  </si>
  <si>
    <t>DV01 de juros líquido — hipótese comportamental</t>
  </si>
  <si>
    <t>DV01 de spread líquido</t>
  </si>
  <si>
    <t>2 · OS SEIS CENÁRIOS DO IRRBB (choques em bps) — o quadro de deformações do Módulo 2 virando norma prudencial</t>
  </si>
  <si>
    <t>Cenário</t>
  </si>
  <si>
    <t>1 · Paralelo alta</t>
  </si>
  <si>
    <t>2 · Paralelo baixa</t>
  </si>
  <si>
    <t>3 · Steepener (curta cai, longa sobe)</t>
  </si>
  <si>
    <t>4 · Flattener (curta sobe, longa cai)</t>
  </si>
  <si>
    <t>5 · Choque curto — alta</t>
  </si>
  <si>
    <t>6 · Choque curto — baixa</t>
  </si>
  <si>
    <t>Choque de spread (bps) — aplicado ao DV01 de spread líquido em todos os cenários</t>
  </si>
  <si>
    <t>3 · A MATRIZ DAS DUAS DORES (R$ milhões) — o núcleo do simulador</t>
  </si>
  <si>
    <t>ΔEVE contratual</t>
  </si>
  <si>
    <t>ΔEVE comportamental</t>
  </si>
  <si>
    <t>ΔNII contratual</t>
  </si>
  <si>
    <t>ΔNII comportamental</t>
  </si>
  <si>
    <t>Divergem?</t>
  </si>
  <si>
    <t>Cenário divergente (índice na matriz)</t>
  </si>
  <si>
    <t>4 · DURATION COMPORTAMENTAL DOS DEPÓSITOS — as três opiniões empilhadas</t>
  </si>
  <si>
    <t>% núcleo (core) dos depósitos — Opinião 1: separar núcleo de excedente</t>
  </si>
  <si>
    <t>Prazo médio do núcleo (anos) — Opinião 2: estimar a estabilidade</t>
  </si>
  <si>
    <t>Beta de repasse ao correntista — Opinião 3: projetar o repasse de taxa</t>
  </si>
  <si>
    <t>Saldo de depósitos (CDB liquidez diária, R$ mi)</t>
  </si>
  <si>
    <t>Duration comportamental do passivo de depósitos (anos) = % núcleo × prazo</t>
  </si>
  <si>
    <t>DV01 de juros comportamental do passivo (R$/bp) = saldo × duration × 0,0001</t>
  </si>
  <si>
    <t>DV01 de juros LÍQUIDO comportamental (R$/bp) = contratual − passivo comportamental</t>
  </si>
  <si>
    <t>Vértice de alocação da duration comportamental (du) — 2,1 anos ≈ 504 du</t>
  </si>
  <si>
    <t>Gap de reprecificação comportamental (R$ mi) = ativos − passivos × beta</t>
  </si>
  <si>
    <t>Sensibilidade (calculada) — DV01 de juros LÍQUIDO (R$/bp): % de núcleo × prazo médio do núcleo. Destaque: onde o líquido cruza zero, a instituição deixa de ser ativo-sensível e passa a passivo-sensível — só por premissa de modelo.</t>
  </si>
  <si>
    <t>% núcleo \ prazo (anos)</t>
  </si>
  <si>
    <t>5 · TRADING × BANKING BOOK: ONDE A DOR APARECE (usa a coluna Livro da tabela do bloco 1 e a coluna ΔMtM)</t>
  </si>
  <si>
    <t>Cenário selecionado (1 a 6)</t>
  </si>
  <si>
    <t>ΔEVE total do cenário (R$ mi) — não muda com a classificação</t>
  </si>
  <si>
    <t>Parcela que passa pelo resultado agora — trading (R$ mi)</t>
  </si>
  <si>
    <t>Parcela diferida (accrual) — banking (R$ mi)</t>
  </si>
  <si>
    <t>% do risco que aparece no resultado</t>
  </si>
  <si>
    <t>6 · STRESS DE FUNDING — SVB 2023 × BRASIL 2002</t>
  </si>
  <si>
    <t>% de saque dos depósitos</t>
  </si>
  <si>
    <t>Capital (PL) de referência (R$ mi)</t>
  </si>
  <si>
    <t>Choque de juros do episódio (bps)</t>
  </si>
  <si>
    <t>Duration base da carteira banking (anos)</t>
  </si>
  <si>
    <t>Multiplicador de duration da carteira banking (SVB ≈ 4,0)</t>
  </si>
  <si>
    <t>Limite de alerta (perda realizada / capital)</t>
  </si>
  <si>
    <t>Saída de caixa (R$ mi) = % de saque × saldo de depósitos</t>
  </si>
  <si>
    <t>Nota: o balanço do caso tem ativo = passivo = R$ 400 mi, ou seja, patrimônio implícito zero. O capital é um PARÂMETRO ADICIONAL deste bloco de stress, não uma linha do balanço. No banking book, o multiplicador dá duration à carteira carregada (DV01 implícito = saldo × duration base × multiplicador × 0,0001): é o mecanismo do HTM longo do SVB.</t>
  </si>
  <si>
    <t>Posição (ordem de liquidez)</t>
  </si>
  <si>
    <t>DV01 juros efetivo (R$/bp)</t>
  </si>
  <si>
    <t>Perda latente (R$ mi)</t>
  </si>
  <si>
    <t>Caixa a cobrir (R$ mi)</t>
  </si>
  <si>
    <t>Vendido nesta posição (R$ mi)</t>
  </si>
  <si>
    <t>Fração vendida</t>
  </si>
  <si>
    <t>Perda realizada (R$ mi)</t>
  </si>
  <si>
    <t>Perda latente acum. (R$ mi)</t>
  </si>
  <si>
    <t>Caixa acum. (R$ mi)</t>
  </si>
  <si>
    <t>|Perda latente| (R$ mi)</t>
  </si>
  <si>
    <t>Total</t>
  </si>
  <si>
    <t>Perda realizada / capital (%)</t>
  </si>
  <si>
    <t>Sinalização automática contra o limite</t>
  </si>
  <si>
    <t>Ponto de ruptura — % de saque que leva a perda realizada ao limite</t>
  </si>
  <si>
    <t xml:space="preserve">   Perda-alvo L* = limite × capital (R$ mi)</t>
  </si>
  <si>
    <t xml:space="preserve">   Posições integralmente vendidas até L* (k)</t>
  </si>
  <si>
    <t xml:space="preserve">   Caixa acumulado até k (R$ mi)</t>
  </si>
  <si>
    <t xml:space="preserve">   Perda acumulada até k (R$ mi)</t>
  </si>
  <si>
    <t>Espelho Brasil 2002 — o fundo</t>
  </si>
  <si>
    <t>Patrimônio do fundo de referência (R$ mi)</t>
  </si>
  <si>
    <t>Queda da cota (%) = ΔEVE do cenário selecionado ÷ patrimônio do fundo</t>
  </si>
  <si>
    <t>No fundo não é preciso vender para doer: a cota já caiu. Lá a marcação antecipada revelou o deságio e o resgate virou corrida; aqui a corrida obrigou a venda que revelou a perda. Mecanismos espelhados, mesma lição — o valor pode esperar; o passivo, não.</t>
  </si>
  <si>
    <t>"A marcação diz que perdemos; o carrego diz que ganhamos. Os dois estão certos — e a pergunta verdadeira é: o seu passivo te dá tempo?"  ·  Gerir só uma métrica é gerir metade.</t>
  </si>
  <si>
    <t>Dados do gráfico 1 (calculados)</t>
  </si>
  <si>
    <t>ΔEVE (R$ mi)</t>
  </si>
  <si>
    <t>ΔNII (R$ mi)</t>
  </si>
  <si>
    <t>Dados do gráfico 2 (calculados) — prazo do núcleo = 3 anos</t>
  </si>
  <si>
    <t>% núcleo dos depósitos</t>
  </si>
  <si>
    <t>DV01 de juros líquido (R$/bp)</t>
  </si>
  <si>
    <t>Módulo 4, Bloco 4 (seções 4.1 a 4.6) · Operações de Tesouraria em Instituições Financeiras (MBA)</t>
  </si>
  <si>
    <t>O QUE O SIMULADOR FAZ</t>
  </si>
  <si>
    <t>Mede o mesmo balanço com as duas lentes oficiais do IRRBB — ΔEVE (valor) e ΔNII (resultado de 12 meses) — sob os seis cenários padronizados de choque de juros, e mostra em quais cenários as duas lentes discordam. Em seguida, troca a hipótese de depósito de contratual para comportamental e mostra a inversão do sinal do risco de valor; separa trading de banking book para mostrar quanto da mesma dor passa pelo resultado agora; e transforma o stress de funding (SVB 2023 × Brasil 2002) em cascata calculada: o saque força a venda, a venda realiza a perda latente, e a perda realizada consome capital.</t>
  </si>
  <si>
    <t>AS DUAS MÉTRICAS</t>
  </si>
  <si>
    <t>ΔEVE</t>
  </si>
  <si>
    <t>ΔNII</t>
  </si>
  <si>
    <t>Mede</t>
  </si>
  <si>
    <t>O impacto no VALOR</t>
  </si>
  <si>
    <t>O impacto no RESULTADO</t>
  </si>
  <si>
    <t>Sobre</t>
  </si>
  <si>
    <t>Estoque de todos os fluxos a valor presente</t>
  </si>
  <si>
    <t>Fluxo de intermediação dos próximos 12 meses</t>
  </si>
  <si>
    <t>Pensa em</t>
  </si>
  <si>
    <t>Riqueza; horizonte longo</t>
  </si>
  <si>
    <t>Resultado corrente; carrego curto</t>
  </si>
  <si>
    <t>Sensível a</t>
  </si>
  <si>
    <t>Ponta longa (duration)</t>
  </si>
  <si>
    <t>Reprecificação curta (gap)</t>
  </si>
  <si>
    <t>Motor da conta</t>
  </si>
  <si>
    <t>DV01 por vértice</t>
  </si>
  <si>
    <t>Gap de reprecificação × choque curto</t>
  </si>
  <si>
    <t>AS FÓRMULAS, POR EXTENSO</t>
  </si>
  <si>
    <t>ΔEVE = − Σ_vértices [ DV01_juros_líquido(vértice) × Δbps(vértice) ] — o passivo entra com sinal contrário: o valor do passivo caindo é ganho de patrimônio.</t>
  </si>
  <si>
    <t>ΔNII ≈ Σ_itens [ saldo × Δbps(vértice de repricing) × fator de tempo × sinal ], apenas para os itens que reprecificam dentro de 12 meses.</t>
  </si>
  <si>
    <t>ATENÇÃO: o vértice de repricing de um pós-fixado em CDI é o OVERNIGHT, ainda que o seu DV01 de spread viva num vértice longo. Confundir os dois vértices faz o ΔEVE certo e o ΔNII errado — é o erro estrutural mais comum ao montar esta planilha.</t>
  </si>
  <si>
    <t>NOTA METODOLÓGICA</t>
  </si>
  <si>
    <t>Os cenários padronizados do IRRBB (paralelo, steepener, flattener, choques curtos) são o quadro de deformações do Módulo 2 virando norma prudencial. Nada aqui é novo — é o M2 com nome de regulador.</t>
  </si>
  <si>
    <t>⚠ ARMADILHA DE MESA — A DIVERGÊNCIA</t>
  </si>
  <si>
    <t>"No steepener, o ΔEVE piora e o ΔNII melhora. As duas estão certas. Reportar só uma ao ALCO é gerir metade do risco — e é sempre a metade que convém."</t>
  </si>
  <si>
    <t>⚠ ARMADILHA DE MESA — A DURATION COMPORTAMENTAL</t>
  </si>
  <si>
    <t>"Durationar depósito é opinar. O mesmo balanço, com a hipótese trocada, muda o SINAL do risco de valor. Sem premissas documentadas, backtesting e um dono nomeado, o modelo vira crença — e crença não tem gatilho de revisão."</t>
  </si>
  <si>
    <t>TRADING × BANKING BOOK</t>
  </si>
  <si>
    <t>A classificação contábil NÃO muda o risco econômico; muda ONDE a dor aparece, QUANDO ela dói e QUEM a vigia. Carregar não é esconder: é escolher absorver o choque pelo tempo em vez do preço — racional se e somente se o passivo der tempo.</t>
  </si>
  <si>
    <t>NOTA DE ESCOPO</t>
  </si>
  <si>
    <t>O balanço é o do caso condutor do Módulo 4 (slide 3), montado com as peças do Módulo 3; os DV01s vêm prontos do Simulador 7 (tabela do slide 5) e aqui recebem as duas métricas por cima. Nada é calculado do zero.</t>
  </si>
  <si>
    <t>AVISO</t>
  </si>
  <si>
    <t>Todos os dados são ilustrativos, com fins didáticos. Em aplicação real, use curvas ANBIMA/B3, séries BCB/SGS, as premissas de depósito homologadas pela instituição e os cenários do normativo vigente.</t>
  </si>
  <si>
    <t>"A marcação diz que perdemos; o carrego diz que ganhamos. Os dois estão certos — e a pergunta verdadeira é: o seu passivo te dá tempo?"</t>
  </si>
  <si>
    <t>E a regra que costura o arquivo: GERIR SÓ UMA MÉTRICA É GERIR METADE.</t>
  </si>
  <si>
    <t>Simulador 11 · Aba Cenários — verificação automática</t>
  </si>
  <si>
    <t>Responda nas células azuis. Gabaritos calculados por fórmula a partir da aba Simulador. Tolerância: R$ 0,05 mi para valores em reais e R$ 500/bp para DV01.</t>
  </si>
  <si>
    <t>Pergunta</t>
  </si>
  <si>
    <t>Sua resposta</t>
  </si>
  <si>
    <t>Gabarito</t>
  </si>
  <si>
    <t>Verificação</t>
  </si>
  <si>
    <t>Comentário</t>
  </si>
  <si>
    <t>Tolerância</t>
  </si>
  <si>
    <t>A · as duas colunas</t>
  </si>
  <si>
    <t>Com os defaults, qual o ΔEVE (R$ mi) no cenário de paralelo de ALTA?</t>
  </si>
  <si>
    <t>O motor é o DV01 de juros líquido de R$ 25.300/bp × 200 bps, com sinal invertido: −R$ 5,06 mi.</t>
  </si>
  <si>
    <t>E qual o ΔNII (R$ mi) no mesmo cenário de paralelo de alta?</t>
  </si>
  <si>
    <t>O motor é o gap de reprecificação no ON (−R$ 200 mi) × 200 bps = −R$ 4,00 mi. Mesma direção aqui, mas por razões diferentes.</t>
  </si>
  <si>
    <t>B · a divergência</t>
  </si>
  <si>
    <t>Em qual dos seis cenários as duas métricas apontam para lados OPOSTOS, com o ΔEVE piorando e o ΔNII melhorando? (digite o número do cenário, 1 a 6)</t>
  </si>
  <si>
    <t>Steepener: a curta cai (melhora o carrego de quem é passivo-sensível) e a longa sobe (destrói valor do estoque longo).</t>
  </si>
  <si>
    <t>Por quê? (escolha na lista)</t>
  </si>
  <si>
    <t>o EVE olha o estoque na ponta longa e o NII olha o gap na ponta curta</t>
  </si>
  <si>
    <t>As duas lentes medem coisas diferentes sobre o mesmo balanço. Reportar só uma ao ALCO é gerir metade do risco.</t>
  </si>
  <si>
    <t>C · o segundo fator</t>
  </si>
  <si>
    <t>COPOM parado (todos os choques de juros = 0) e o spread abrindo 50 bps: qual o ΔEVE (R$ mi)?</t>
  </si>
  <si>
    <t>Vem inteiramente do DV01 de spread líquido de R$ 50 mil/bp. Juros parados não significam risco parado.</t>
  </si>
  <si>
    <t>Em qual vértice (du) mora essa perda de spread?</t>
  </si>
  <si>
    <t>A LFT de 1.260 du. As duas LFs (comprada e emitida) se cancelam no vértice de 504 du.</t>
  </si>
  <si>
    <t>D · a hipótese que troca o sinal</t>
  </si>
  <si>
    <t>Ligando a duration comportamental (núcleo 70%, prazo 3 anos), qual o DV01 de juros LÍQUIDO (R$/bp)?</t>
  </si>
  <si>
    <t>25.300 − 63.000 = −37.700. O banco deixa de ser ativo-sensível e passa a passivo-sensível.</t>
  </si>
  <si>
    <t>E qual o ΔEVE (R$ mi) do paralelo de alta nessa hipótese?</t>
  </si>
  <si>
    <t>De −5,06 para +7,54: a hipótese trocou o SINAL do risco de valor.</t>
  </si>
  <si>
    <t>O que mudou no balanço? (escolha na lista)</t>
  </si>
  <si>
    <t>nada — mudou a premissa do modelo de depósitos</t>
  </si>
  <si>
    <t>Durationar depósito é opinar. Sem premissa documentada, backtesting e dono nomeado, o modelo vira crença.</t>
  </si>
  <si>
    <t>E · onde a dor aparece</t>
  </si>
  <si>
    <t>Migrando LTN e NTN-F de trading para banking, quanto MUDA o ΔEVE (R$ mi)?</t>
  </si>
  <si>
    <t>Zero. A classificação contábil não altera o risco econômico.</t>
  </si>
  <si>
    <t>E qual passa a ser a parcela do risco que aparece no resultado agora (%)?</t>
  </si>
  <si>
    <t>De 100% para 0%: a dor não desapareceu, foi diferida para o accrual. Carregar não é esconder.</t>
  </si>
  <si>
    <t>F · o ponto de ruptura</t>
  </si>
  <si>
    <t>Com multiplicador de duration 4,0 e choque de +400 bps, qual o % de saque que leva a perda realizada a 30% do capital?</t>
  </si>
  <si>
    <t>Basta vender parte do colchão de LFT: a carteira longa transforma um saque moderado em perda realizada relevante. A quebra não veio da marcação, veio do caixa.</t>
  </si>
  <si>
    <t>G · conceito (texto livre)</t>
  </si>
  <si>
    <t>"O ALCO só quer ver o ΔNII, porque é o número que vai ao resultado." O que você argumenta?</t>
  </si>
  <si>
    <t>Gerir só uma métrica é gerir metade: o NII de 12 meses ignora o estoque e a ponta longa — exatamente onde o SVB morreu; e a escolha de qual métrica reportar não pode ser da mesa que é avaliada por ela.</t>
  </si>
  <si>
    <t>Resposta-modelo agrupada: avaliação qualitativa.</t>
  </si>
  <si>
    <t>Prompt utilizado para gerar este simulador</t>
  </si>
  <si>
    <t>Data de geração: 19/08/2026</t>
  </si>
  <si>
    <t># Spec — Simulador 11 · ΔEVE × ΔNII (a dor no valor e a dor no resultado)</t>
  </si>
  <si>
    <t>&gt; **Prompt para o Claude for Excel.** Crie um arquivo `simulador-eve-nii.xlsx` seguindo integralmente esta especificação. Ao final, cole o texto completo deste documento na aba "Prompt".</t>
  </si>
  <si>
    <t>## 1. Contexto e objetivo</t>
  </si>
  <si>
    <t>Simulador do **Módulo 4, Bloco 4** (seções 4.1 a 4.6) do curso Operações de Tesouraria em Instituições Financeiras (MBA). É o único bloco do curso sem simulador próprio, e o mais conceitual: aqui o passivo — protagonista desde o Módulo 1 — entra na conta como número.</t>
  </si>
  <si>
    <t>Quatro competências, em ordem:</t>
  </si>
  <si>
    <t>1. **As duas dores oficiais**: calcular ΔEVE (impacto no **valor** do patrimônio) e ΔNII (impacto no **resultado** de 12 meses) sobre o mesmo balanço, sob os seis cenários padronizados do IRRBB — e ver as duas métricas **divergirem no mesmo choque**;</t>
  </si>
  <si>
    <t>2. **A duration comportamental dos depósitos**: mostrar que trocar a hipótese de depósito contratual (duration ≈ 0) por comportamental (núcleo estável de anos) **inverte o sinal do ΔEVE** — *"a duration do passivo bancário é um modelo, e modelo é opinião"*;</t>
  </si>
  <si>
    <t>3. **Trading × banking book**: a classificação contábil não muda o risco econômico (o ΔEVE é o mesmo), mas decide **quanto dele passa pelo resultado agora**;</t>
  </si>
  <si>
    <t>4. **O stress de funding (SVB 2023 × Brasil 2002)**: transformar a anedota em método — o saque força a venda, a venda **realiza** a perda latente, e a perda realizada consome capital. *"O valor pode esperar; o passivo, não."*</t>
  </si>
  <si>
    <t>Mensagem pedagógica central (deve aparecer na Instruções e no fechamento da Simulador):</t>
  </si>
  <si>
    <t>&gt; **"A marcação diz que perdemos; o carrego diz que ganhamos. Os dois estão certos — e a pergunta verdadeira é: o seu passivo te dá tempo?"**</t>
  </si>
  <si>
    <t>E a regra que costura o arquivo: **gerir só uma métrica é gerir metade.**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</si>
  <si>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</si>
  <si>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</si>
  <si>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</si>
  <si>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 (negrito), texto `#202427`, resultados `#0C63AA` (negrito, 14pt), inputs `#DCE9F5` com borda fina e desbloqueados; todo o resto bloqueado (proteção sem senha). DV01 em R$/bp com separador de milhar; ΔEVE e ΔNII em **R$ milhões com 2 casas**; choques em **bps inteiros**; percentuais com 1 casa. Valores negativos em vermelho.</t>
  </si>
  <si>
    <t>## 4. Aba "Instruções"</t>
  </si>
  <si>
    <t>- **O que o simulador faz** (1 parágrafo): mede o mesmo balanço com as duas lentes oficiais do IRRBB e mostra em quais cenários elas discordam.</t>
  </si>
  <si>
    <t>- **As duas métricas**, em quadro de duas colunas:</t>
  </si>
  <si>
    <t>| | ΔEVE | ΔNII |</t>
  </si>
  <si>
    <t>|---|---|---|</t>
  </si>
  <si>
    <t>| Mede | O impacto no **valor** | O impacto no **resultado** |</t>
  </si>
  <si>
    <t>| Sobre | Estoque de todos os fluxos a valor presente | Fluxo de intermediação dos próximos 12 meses |</t>
  </si>
  <si>
    <t>| Pensa em | Riqueza; horizonte longo | Resultado corrente; carrego curto |</t>
  </si>
  <si>
    <t>| Sensível a | Ponta longa (duration) | Reprecificação curta (gap) |</t>
  </si>
  <si>
    <t>| Motor da conta | DV01 por vértice | Gap de reprecificação × choque curto |</t>
  </si>
  <si>
    <t>- **As fórmulas, por extenso:**</t>
  </si>
  <si>
    <t xml:space="preserve">  - `ΔEVE = − Σ_vértices [ DV01_juros_líquido(vértice) × Δbps(vértice) ]`, com o passivo entrando com sinal contrário (o valor do passivo caindo é ganho de patrimônio);</t>
  </si>
  <si>
    <t xml:space="preserve">  - `ΔNII ≈ Σ_itens [ saldo × Δbps(vértice de repricing) × fator de tempo × sinal ]`, apenas para os itens que reprecificam dentro de 12 meses. **Atenção:** o vértice de repricing de um pós-fixado em CDI é o **overnight**, ainda que o seu DV01 de spread viva num vértice longo.</t>
  </si>
  <si>
    <t>- **Nota metodológica obrigatória:** os cenários padronizados do IRRBB (paralelo, steepener, flattener, choques curtos) são **o quadro de deformações do Módulo 2 virando norma prudencial**. Nada aqui é novo — é o M2 com nome de regulador.</t>
  </si>
  <si>
    <t>- **⚠ ARMADILHA DE MESA — a divergência.** Caixa destacada: *"No steepener, o ΔEVE piora e o ΔNII melhora. As duas estão certas. Reportar só uma ao ALCO é gerir metade do risco — e é sempre a metade que convém."*</t>
  </si>
  <si>
    <t>- **⚠ ARMADILHA DE MESA — a duration comportamental.** Caixa destacada: *"Durationar depósito é opinar. O mesmo balanço, com a hipótese trocada, muda o SINAL do risco de valor. Sem premissas documentadas, backtesting e um dono nomeado, o modelo vira crença — e crença não tem gatilho de revisão."*</t>
  </si>
  <si>
    <t>- **Nota sobre trading × banking book:** a classificação **não muda o risco econômico**; muda **onde** a dor aparece, **quando** ela dói e **quem** a vigia. Carregar não é esconder: é escolher absorver o choque pelo tempo em vez do preço — racional **se e somente se o passivo der tempo**.</t>
  </si>
  <si>
    <t>- **Nota de escopo:** o balanço é o do caso condutor do Módulo 4 (slide 3), montado com as peças do Módulo 3; os DV01s vêm prontos do Simulador 7 e aqui recebem as duas métricas por cima. Nada é calculado do zero.</t>
  </si>
  <si>
    <t>- **Aviso:** todos os dados são ilustrativos, com fins didáticos. Em aplicação real, use curvas ANBIMA/B3, séries BCB/SGS, as premissas de depósito homologadas pela instituição e os cenários do normativo vigente.</t>
  </si>
  <si>
    <t>## 5. Aba "Simulador"</t>
  </si>
  <si>
    <t>### 5.1 Bloco "O balanço do caso" (tabela-base; saldos e DV01s em azul)</t>
  </si>
  <si>
    <t>Reproduzir o balanço do slide 3. Colunas: Posição · Lado · **Vértice de DV01** (du) · **Vértice de repricing** (du) · Saldo (R$ mi) · DV01 juros (R$/bp) · DV01 spread (R$/bp) · Fator de tempo · Livro (lista: trading/banking).</t>
  </si>
  <si>
    <t>&gt; **Distinção obrigatória — as duas colunas de vértice não são a mesma coisa.** O **vértice de DV01** é onde mora a sensibilidade de preço (para a LF CDI+, o prazo do spread: 504 du). O **vértice de repricing** é onde a taxa do papel se redefine (para qualquer pós-fixado em CDI, o **overnight**). Confundir as duas faz o ΔEVE certo e o ΔNII errado — é o erro estrutural mais comum ao montar esta planilha.</t>
  </si>
  <si>
    <t>| Posição | Lado | Vért. DV01 | Vért. repricing | Saldo | DV01 juros | DV01 spread | Fator tempo | Livro |</t>
  </si>
  <si>
    <t>|---|---|---|---|---|---|---|---|---|</t>
  </si>
  <si>
    <t>| LTN 252 du | Ativo | 252 | 252 (no vencimento) | 100 | 8.800 | 0 | 0,00 | trading |</t>
  </si>
  <si>
    <t>| NTN-F 504 du | Ativo | 504 | — (não repreça em 12m) | 100 | 16.500 | 0 | 0,00 | trading |</t>
  </si>
  <si>
    <t>| LFT 1.260 du | Ativo | 1.260 | **ON** | 100 | 0 | 50.000 | 1,00 | banking |</t>
  </si>
  <si>
    <t>| LF CDI + 0,90 | Ativo | 504 | **ON** | 100 | 0 | 20.000 | 1,00 | banking |</t>
  </si>
  <si>
    <t>| CDB liquidez diária | Passivo | 0 (ON) | **ON** | 300 | 0 | 0 | 1,00 | banking |</t>
  </si>
  <si>
    <t>| LF emitida 24m | Passivo | 504 | **ON** | 100 | 0 | 20.000 | 1,00 | banking |</t>
  </si>
  <si>
    <t>O **fator de tempo** é a fração do ano em que a nova taxa vigora. A LTN tem fator **0,00** porque vence exatamente ao fim do horizonte de 12 meses: repreça, mas não gera receita nova dentro da janela. É uma célula azul — vale mexer nela em aula.</t>
  </si>
  <si>
    <t>**Gap de reprecificação no overnight** (calculado, exibido em destaque): ativos sensíveis 200 − passivos sensíveis 400 = **−R$ 200 mi**. É o motor inteiro do ΔNII.</t>
  </si>
  <si>
    <t>Calculados abaixo da tabela, em duas colunas que **nunca se misturam**:</t>
  </si>
  <si>
    <t>- DV01 juros: ativo **25.300** · passivo **0** · **líquido 25.300**</t>
  </si>
  <si>
    <t>- DV01 spread: ativo **70.000** · passivo **20.000** · **líquido 50.000**</t>
  </si>
  <si>
    <t>- **Perfil líquido por vértice** (ON / 252 / 504 / 1.260), juros e spread.</t>
  </si>
  <si>
    <t>- **Linha de leitura automática obrigatória:** o spread líquido do vértice de 504 du é **zero** — a LF comprada e a LF emitida se cancelam. Texto: *"Todo o risco de spread líquido (R$ 50 mil/bp) mora em um único vértice: a LFT de 1.260 du. As duas LFs se anulam."*</t>
  </si>
  <si>
    <t>### 5.2 Bloco "Os seis cenários do IRRBB" (matriz de choques, toda azul)</t>
  </si>
  <si>
    <t>Matriz editável: 6 linhas × 4 colunas de vértice, em bps. Defaults:</t>
  </si>
  <si>
    <t>| Cenário | ON | 252 | 504 | 1.260 |</t>
  </si>
  <si>
    <t>|---|---:|---:|---:|---:|</t>
  </si>
  <si>
    <t>| 1 · Paralelo alta | +200 | +200 | +200 | +200 |</t>
  </si>
  <si>
    <t>| 2 · Paralelo baixa | −200 | −200 | −200 | −200 |</t>
  </si>
  <si>
    <t>| 3 · Steepener (curta cai, longa sobe) | −65 | −30 | +30 | +90 |</t>
  </si>
  <si>
    <t>| 4 · Flattener (curta sobe, longa cai) | +80 | +40 | −30 | −60 |</t>
  </si>
  <si>
    <t>| 5 · Choque curto — alta | +150 | +100 | +40 | +10 |</t>
  </si>
  <si>
    <t>| 6 · Choque curto — baixa | −150 | −100 | −40 | −10 |</t>
  </si>
  <si>
    <t>Input azul adicional: **choque de spread (bps)**, default **0**, aplicado ao DV01 de spread líquido em todos os cenários (para o Cenário C da aba Cenários, que isola o fator).</t>
  </si>
  <si>
    <t>### 5.3 Bloco "A matriz das duas dores" — **o núcleo do simulador**</t>
  </si>
  <si>
    <t>Tabela 6 × 5: Cenário · **ΔEVE contratual** · **ΔEVE comportamental** · **ΔNII contratual** · **ΔNII comportamental**, em R$ milhões.</t>
  </si>
  <si>
    <t>Regras de cálculo:</t>
  </si>
  <si>
    <t>- `ΔEVE = − Σ_vértices [ DV01_juros_líquido(v) × Δbps(v) ] − DV01_spread_líquido × choque_spread`</t>
  </si>
  <si>
    <t>- `ΔNII = Σ_itens_que_reprecificam [ saldo × Δbps(vértice) × fator_tempo × (+1 ativo / −1 passivo) ]`</t>
  </si>
  <si>
    <t>- As colunas "comportamental" usam os parâmetros do bloco 5.4.</t>
  </si>
  <si>
    <t>**Coluna final "Divergem?"**: fórmula que compara os sinais de ΔEVE e ΔNII na versão contratual e devolve **"⚠ SIM — as lentes discordam"** quando os sinais são opostos, ou "não" caso contrário.</t>
  </si>
  <si>
    <t>**Linha de leitura automática abaixo da matriz**, montada por fórmula, nomeando o cenário divergente e os dois números. Texto-modelo: *"No steepener o valor perde R$ X e o resultado ganha R$ Y. Ambas estão certas: o EVE olha o estoque na ponta longa; o NII olha o gap na ponta curta."*</t>
  </si>
  <si>
    <t>**Resultados esperados com os defaults (critério de aceite):**</t>
  </si>
  <si>
    <t>| Cenário | ΔEVE contratual | ΔNII contratual |</t>
  </si>
  <si>
    <t>|---|---:|---:|</t>
  </si>
  <si>
    <t>| Paralelo alta | −R$ 5,06 mi | −R$ 4,00 mi |</t>
  </si>
  <si>
    <t>| Paralelo baixa | +R$ 5,06 mi | +R$ 4,00 mi |</t>
  </si>
  <si>
    <t>| **Steepener** | **−R$ 0,23 mi** | **+R$ 1,30 mi** ← divergem |</t>
  </si>
  <si>
    <t>| **Flattener** | **+R$ 0,14 mi** | **−R$ 1,60 mi** ← divergem |</t>
  </si>
  <si>
    <t>| Choque curto alta | −R$ 1,54 mi | −R$ 3,00 mi |</t>
  </si>
  <si>
    <t>| Choque curto baixa | +R$ 1,54 mi | +R$ 3,00 mi |</t>
  </si>
  <si>
    <t>### 5.4 Bloco "Duration comportamental dos depósitos" (as três opiniões empilhadas)</t>
  </si>
  <si>
    <t>Três inputs azuis, cada um rotulado como **uma opinião**:</t>
  </si>
  <si>
    <t>| Parâmetro | Default | O que é |</t>
  </si>
  <si>
    <t>| % núcleo (core) dos depósitos | 70% | Opinião 1 — separar núcleo de excedente |</t>
  </si>
  <si>
    <t>| Prazo médio do núcleo (anos) | 3,0 | Opinião 2 — estimar a estabilidade |</t>
  </si>
  <si>
    <t>| Beta de repasse ao correntista | 50% | Opinião 3 — projetar o repasse de taxa |</t>
  </si>
  <si>
    <t>Calculados:</t>
  </si>
  <si>
    <t>- Duration comportamental do passivo de depósitos = `% núcleo × prazo do núcleo` → **2,10 anos**</t>
  </si>
  <si>
    <t>- DV01 de juros comportamental do passivo = `saldo × duration × 0,0001` → **R$ 63.000/bp** (contra **zero** na hipótese contratual)</t>
  </si>
  <si>
    <t>- **DV01 de juros líquido comportamental** = 25.300 − 63.000 = **−R$ 37.700/bp**</t>
  </si>
  <si>
    <t>- Efeito no ΔNII: o passivo sensível passa a reprecificar apenas `beta ×` o choque → com beta 50%, o gap de reprecificação vai de −R$ 200 mi para **zero** e o ΔNII do paralelo vai de −R$ 4,00 mi para **R$ 0,00**.</t>
  </si>
  <si>
    <t>**Leitura automática obrigatória (a mensagem do bloco):**</t>
  </si>
  <si>
    <t>&gt; *"Com depósito contratual, o balanço perde R$ 5,06 mi na alta de 200 bps. Com depósito comportamental, ele GANHA R$ 7,54 mi. Mesma carteira, mesmo choque — a hipótese trocou o sinal do risco. Durationar depósito é opinar."*</t>
  </si>
  <si>
    <t>Adicionar uma **mini-tabela de sensibilidade** (não editável, calculada): DV01 de juros líquido para % de núcleo em {50%, 60%, 70%, 80%, 90%} × prazo do núcleo em {1, 2, 3, 4, 5} anos, com destaque na célula onde o líquido **cruza zero** — o ponto em que a instituição deixa de ser ativo-sensível e passa a ser passivo-sensível, apenas por premissa de modelo.</t>
  </si>
  <si>
    <t>### 5.5 Bloco "Trading × banking book: onde a dor aparece"</t>
  </si>
  <si>
    <t>Usa a coluna "Livro" da tabela 5.1 (listas suspensas). Para o cenário selecionado (input azul: número do cenário, default 1):</t>
  </si>
  <si>
    <t>- **ΔEVE total** (não muda com a classificação)</t>
  </si>
  <si>
    <t>- **Parcela que passa pelo resultado agora** = Σ dos ΔMtM das posições em **trading**</t>
  </si>
  <si>
    <t>- **Parcela diferida (accrual)** = Σ das posições em **banking**</t>
  </si>
  <si>
    <t>- **% do risco que aparece no resultado**</t>
  </si>
  <si>
    <t>Com os defaults (LTN e NTN-F em trading), no paralelo de +200 bps: **100% do ΔEVE de juros passa pelo resultado**. Trocando as duas para banking: **0%**.</t>
  </si>
  <si>
    <t>**Leitura automática:** *"A classificação não mudou o risco econômico — o ΔEVE é o mesmo R$ X nos dois casos. Mudou apenas quanto disso o resultado enxerga hoje. Carregar não é esconder: é absorver o choque pelo tempo em vez do preço."*</t>
  </si>
  <si>
    <t>### 5.6 Bloco "Stress de funding — SVB 2023 × Brasil 2002"</t>
  </si>
  <si>
    <t>Inputs azuis:</t>
  </si>
  <si>
    <t>| Parâmetro | Default |</t>
  </si>
  <si>
    <t>|---|---|</t>
  </si>
  <si>
    <t>| % de saque dos depósitos | 45% |</t>
  </si>
  <si>
    <t>| Capital (PL) de referência (R$ mi) | 40 |</t>
  </si>
  <si>
    <t>| Choque de juros do episódio (bps) | +400 |</t>
  </si>
  <si>
    <t>| **Multiplicador de duration da carteira banking** | **1,0** (SVB ≈ 4,0) |</t>
  </si>
  <si>
    <t>| Limite de alerta (perda realizada / capital) | 30% |</t>
  </si>
  <si>
    <t>&gt; **Nota obrigatória junto ao capital:** o balanço do caso tem ativo = passivo = R$ 400 mi, ou seja, patrimônio implícito zero. O capital é um **parâmetro adicional deste bloco de stress**, não uma linha do balanço.</t>
  </si>
  <si>
    <t>Mecânica (cascata visível linha a linha, sem caixa-preta):</t>
  </si>
  <si>
    <t>1. **Saída de caixa** = % de saque × saldo de depósitos → default R$ 135 mi</t>
  </si>
  <si>
    <t>2. **Perda latente por posição** = `−DV01 juros × choque × multiplicador` (aplicado às posições do ativo)</t>
  </si>
  <si>
    <t>3. **Venda forçada na ordem de liquidez**: LFT → LTN → LF → NTN-F, até cobrir a saída</t>
  </si>
  <si>
    <t>4. **Perda realizada** = para cada posição, `fração vendida × perda latente daquela posição`</t>
  </si>
  <si>
    <t>5. **Perda realizada / capital (%)** e sinalização automática contra o limite de alerta</t>
  </si>
  <si>
    <t>6. **Ponto de ruptura**: linha calculada informando o **% de saque** que faz a perda realizada atingir o limite, dado o choque e o multiplicador correntes</t>
  </si>
  <si>
    <t>**Leitura automática — o mecanismo SVB:** *"Com o multiplicador em 1,0, o colchão de LFT absorve o saque e quase nada é realizado. Suba o multiplicador para 4,0 (uma carteira longa como a do SVB) e a mesma saída consome X% do capital. A quebra não veio da marcação: veio do caixa. Vender o que estava 'protegido' da marcação foi o que realizou a perda."*</t>
  </si>
  <si>
    <t>**Espelho Brasil 2002** (sub-bloco de duas linhas, sem inputs próprios): calcular `queda da cota (%) = ΔEVE do cenário ÷ patrimônio do fundo` e exibir com a leitura: *"No fundo não é preciso vender para doer: a cota já caiu. Lá a marcação antecipada revelou o deságio e o resgate virou corrida; aqui a corrida obrigou a venda que revelou a perda. Mecanismos espelhados, mesma lição — o valor pode esperar; o passivo, não."*</t>
  </si>
  <si>
    <t>### 5.7 Gráfico (este simulador **deve** ter gráfico)</t>
  </si>
  <si>
    <t>**Barras agrupadas**, eixo X = os seis cenários, duas séries: **ΔEVE** (`#0C63AA`) e **ΔNII** (cinza médio), em R$ milhões, com linha zero visível. Título: **"O mesmo choque, duas dores: onde EVE e NII discordam"**. Rótulo de dados ativado nos cenários em que os sinais divergem.</t>
  </si>
  <si>
    <t>Se viável, um segundo gráfico pequeno: DV01 de juros líquido × % de núcleo dos depósitos (linha), com marcador no cruzamento do zero — visualiza o bloco 5.4.</t>
  </si>
  <si>
    <t>## 6. Aba "Cenários"</t>
  </si>
  <si>
    <t>Verificação automática padrão do curso: responder nas células azuis, gabaritos calculados por fórmula a partir da aba Simulador, tolerância de **R$ 0,05 mi** para valores e **R$ 500/bp** para DV01. Colunas: Cenário · Pergunta · Sua resposta · Gabarito · Verificação · Comentário.</t>
  </si>
  <si>
    <t>- **Cenário A · as duas colunas.** Com os defaults, qual o ΔEVE e qual o ΔNII no **paralelo de alta**? *(−R$ 5,06 mi e −R$ 4,00 mi)*</t>
  </si>
  <si>
    <t>- **Cenário B · a divergência.** Em qual dos seis cenários as duas métricas apontam para lados **opostos** com o ΔEVE piorando e o ΔNII melhorando? E por quê? *(steepener; lista de 3 opções, a correta: "o EVE olha o estoque na ponta longa e o NII olha o gap na ponta curta")*</t>
  </si>
  <si>
    <t>- **Cenário C · o segundo fator.** COPOM parado (todos os choques de juros = 0) e o spread abrindo 50 bps: qual o ΔEVE? *(−R$ 2,50 mi, do DV01 de spread líquido de R$ 50 mil/bp)* — e a pergunta complementar: **em qual vértice mora essa perda?** *(1.260 du, a LFT — as duas LFs se cancelam)*</t>
  </si>
  <si>
    <t>- **Cenário D · a hipótese que troca o sinal.** Ligando a duration comportamental (núcleo 70%, prazo 3 anos), qual o DV01 de juros líquido e qual o ΔEVE do paralelo de alta? *(−R$ 37.700/bp e +R$ 7,54 mi)* — e: **o que mudou no balanço?** *(lista; correta: "nada — mudou a premissa do modelo de depósitos")*</t>
  </si>
  <si>
    <t>- **Cenário E · onde a dor aparece.** Migrando LTN e NTN-F de trading para banking, quanto muda o ΔEVE e quanto muda a parcela que passa pelo resultado? *(ΔEVE: zero de mudança; parcela no resultado: de 100% para 0%)*</t>
  </si>
  <si>
    <t>- **Cenário F · o ponto de ruptura.** Com multiplicador de duration 4,0 e choque de +400 bps, qual o % de saque que leva a perda realizada a 30% do capital? *(gabarito por fórmula do bloco 5.6)*</t>
  </si>
  <si>
    <t>- **Cenário G · conceito (texto livre, resposta-modelo agrupada).** *"O ALCO só quer ver o ΔNII, porque é o número que vai ao resultado. O que você argumenta?"* Resposta-modelo: gerir só uma métrica é gerir metade; o NII de 12 meses ignora o estoque e a ponta longa, exatamente onde o SVB morreu; e a escolha de qual métrica reportar não pode ser da mesa que é avaliada por ela.</t>
  </si>
  <si>
    <t>## 7. Aba "Prompt"</t>
  </si>
  <si>
    <t>Colar o texto integral desta especificação, com o título "Prompt utilizado para gerar este simulador" e a data de geração.</t>
  </si>
  <si>
    <t>## 8. Critérios de aceite</t>
  </si>
  <si>
    <t>- **A matriz 5.3 reproduz exatamente os seis pares da tabela de resultados esperados**, e a coluna "Divergem?" acusa **steepener** e **flattener**.</t>
  </si>
  <si>
    <t>- O steepener entrega **ΔEVE negativo e ΔNII positivo** — é a demonstração central do arquivo; se os dois tiverem o mesmo sinal, a matriz de choques ou o motor do NII está errado.</t>
  </si>
  <si>
    <t>- O bloco 5.4 leva o DV01 de juros líquido de **+25.300** para **−37.700** e o ΔEVE do paralelo de alta de **−5,06** para **+7,54** apenas trocando a premissa de depósitos; a tabela de sensibilidade destaca a célula em que o líquido cruza zero.</t>
  </si>
  <si>
    <t>- O bloco 5.1 identifica automaticamente que o spread líquido do vértice de 504 du é **zero** e que todo o risco de spread mora na LFT.</t>
  </si>
  <si>
    <t>- O bloco 5.5 mostra **ΔEVE inalterado** e a parcela no resultado indo de 100% a 0% ao trocar o livro contábil.</t>
  </si>
  <si>
    <t>- O bloco 5.6 com multiplicador 1,0 resulta em perda realizada próxima de zero (o colchão de LFT aguenta) e, com 4,0, dispara o alerta — a linha do ponto de ruptura calcula corretamente nos dois casos.</t>
  </si>
  <si>
    <t>- Gráfico de barras agrupadas correto, com linha zero visível e rótulos nos cenários divergentes.</t>
  </si>
  <si>
    <t>- Apenas células azuis editáveis; demais bloqueadas sem senha; aba Prompt com a spec na íntegra.</t>
  </si>
  <si>
    <t>- Nenhum número inventado: todos os DV01s vêm da tabela do slide 5 do Módulo 4 (idêntica à do Simulador 7).</t>
  </si>
  <si>
    <t>NOTA DE IMPLEMENTAÇÃO (decisão registrada com o usuário): no bloco 5.6, as posições classificadas como banking recebem um DV01 de juros implícito = saldo × duration base (1 ano) × multiplicador × 0,0001, de modo que o multiplicador dê duration à carteira carregada. Com multiplicador 1,0 a perda realizada fica em ~13% do capital (sem alerta) e com 4,0 vai a ~43% (dispara o alerta), reproduzindo o mecanismo do HTM longo do SVB — condição exigida pelos critérios de aceite.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</si>
</sst>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=0]&quot;ON&quot;;#,##0"/>
    <numFmt numFmtId="165" formatCode="#,##0;[Red]\(#,##0\);&quot;–&quot;"/>
    <numFmt numFmtId="166" formatCode="#,##0;[Red]\-#,##0;0"/>
    <numFmt numFmtId="167" formatCode="#,##0.00;[Red]\(#,##0.00\);&quot;–&quot;"/>
    <numFmt numFmtId="168" formatCode="0.0%"/>
    <numFmt numFmtId="169" formatCode="0.0"/>
  </numFmts>
  <fonts count="16" x14ac:knownFonts="1">
    <font>
      <sz val="11"/>
      <color theme="1"/>
      <name val="Aptos Narrow"/>
      <family val="2"/>
      <scheme val="minor"/>
    </font>
    <font>
      <sz val="10"/>
      <color rgb="FF202427"/>
      <name val="Arial"/>
    </font>
    <font>
      <b/>
      <sz val="16"/>
      <color rgb="FF002C4D"/>
      <name val="Arial"/>
    </font>
    <font>
      <b/>
      <sz val="10"/>
      <color rgb="FF202427"/>
      <name val="Arial"/>
    </font>
    <font>
      <b/>
      <sz val="10"/>
      <color rgb="FF002C4D"/>
      <name val="Arial"/>
    </font>
    <font>
      <b/>
      <sz val="12"/>
      <color rgb="FF002C4D"/>
      <name val="Arial"/>
    </font>
    <font>
      <b/>
      <sz val="10"/>
      <color rgb="FFFFFFFF"/>
      <name val="Arial"/>
    </font>
    <font>
      <b/>
      <sz val="12"/>
      <color rgb="FFFFFFFF"/>
      <name val="Arial"/>
    </font>
    <font>
      <i/>
      <sz val="10"/>
      <color rgb="FF202427"/>
      <name val="Arial"/>
    </font>
    <font>
      <i/>
      <sz val="9"/>
      <color rgb="FF202427"/>
      <name val="Arial"/>
    </font>
    <font>
      <b/>
      <i/>
      <sz val="9"/>
      <color rgb="FF002C4D"/>
      <name val="Arial"/>
    </font>
    <font>
      <b/>
      <sz val="10"/>
      <color rgb="FF0C63AA"/>
      <name val="Arial"/>
    </font>
    <font>
      <b/>
      <sz val="14"/>
      <color rgb="FF0C63AA"/>
      <name val="Arial"/>
    </font>
    <font>
      <b/>
      <sz val="11"/>
      <color rgb="FF0C63AA"/>
      <name val="Arial"/>
    </font>
    <font>
      <b/>
      <i/>
      <sz val="10"/>
      <color rgb="FF002C4D"/>
      <name val="Arial"/>
    </font>
    <font>
      <sz val="9"/>
      <color rgb="FF202427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C4D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0C63AA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" fillId="3" borderId="6" xfId="0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3" fontId="1" fillId="3" borderId="6" xfId="0" applyNumberFormat="1" applyFont="1" applyFill="1" applyBorder="1" applyProtection="1">
      <protection locked="0"/>
    </xf>
    <xf numFmtId="165" fontId="1" fillId="3" borderId="6" xfId="0" applyNumberFormat="1" applyFont="1" applyFill="1" applyBorder="1" applyProtection="1">
      <protection locked="0"/>
    </xf>
    <xf numFmtId="2" fontId="1" fillId="3" borderId="6" xfId="0" applyNumberFormat="1" applyFont="1" applyFill="1" applyBorder="1" applyProtection="1">
      <protection locked="0"/>
    </xf>
    <xf numFmtId="2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  <xf numFmtId="165" fontId="12" fillId="0" borderId="0" xfId="0" applyNumberFormat="1" applyFont="1"/>
    <xf numFmtId="164" fontId="1" fillId="0" borderId="0" xfId="0" applyNumberFormat="1" applyFont="1"/>
    <xf numFmtId="166" fontId="1" fillId="3" borderId="6" xfId="0" applyNumberFormat="1" applyFont="1" applyFill="1" applyBorder="1" applyProtection="1">
      <protection locked="0"/>
    </xf>
    <xf numFmtId="166" fontId="1" fillId="3" borderId="9" xfId="0" applyNumberFormat="1" applyFont="1" applyFill="1" applyBorder="1" applyProtection="1">
      <protection locked="0"/>
    </xf>
    <xf numFmtId="167" fontId="12" fillId="0" borderId="0" xfId="0" applyNumberFormat="1" applyFont="1"/>
    <xf numFmtId="1" fontId="1" fillId="0" borderId="0" xfId="0" applyNumberFormat="1" applyFont="1"/>
    <xf numFmtId="168" fontId="1" fillId="3" borderId="6" xfId="0" applyNumberFormat="1" applyFont="1" applyFill="1" applyBorder="1" applyProtection="1">
      <protection locked="0"/>
    </xf>
    <xf numFmtId="169" fontId="1" fillId="3" borderId="6" xfId="0" applyNumberFormat="1" applyFont="1" applyFill="1" applyBorder="1" applyProtection="1">
      <protection locked="0"/>
    </xf>
    <xf numFmtId="168" fontId="1" fillId="0" borderId="0" xfId="0" applyNumberFormat="1" applyFont="1"/>
    <xf numFmtId="1" fontId="1" fillId="3" borderId="6" xfId="0" applyNumberFormat="1" applyFont="1" applyFill="1" applyBorder="1" applyProtection="1">
      <protection locked="0"/>
    </xf>
    <xf numFmtId="168" fontId="13" fillId="0" borderId="0" xfId="0" applyNumberFormat="1" applyFont="1"/>
    <xf numFmtId="168" fontId="12" fillId="0" borderId="0" xfId="0" applyNumberFormat="1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3" fillId="0" borderId="8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7" fontId="1" fillId="3" borderId="6" xfId="0" applyNumberFormat="1" applyFont="1" applyFill="1" applyBorder="1" applyAlignment="1" applyProtection="1">
      <alignment vertical="top" wrapText="1"/>
      <protection locked="0"/>
    </xf>
    <xf numFmtId="167" fontId="11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" fontId="1" fillId="3" borderId="6" xfId="0" applyNumberFormat="1" applyFont="1" applyFill="1" applyBorder="1" applyAlignment="1" applyProtection="1">
      <alignment vertical="top" wrapText="1"/>
      <protection locked="0"/>
    </xf>
    <xf numFmtId="1" fontId="11" fillId="0" borderId="2" xfId="0" applyNumberFormat="1" applyFont="1" applyBorder="1" applyAlignment="1">
      <alignment vertical="top" wrapText="1"/>
    </xf>
    <xf numFmtId="49" fontId="1" fillId="3" borderId="6" xfId="0" applyNumberFormat="1" applyFont="1" applyFill="1" applyBorder="1" applyAlignment="1" applyProtection="1">
      <alignment vertical="top" wrapText="1"/>
      <protection locked="0"/>
    </xf>
    <xf numFmtId="49" fontId="11" fillId="0" borderId="2" xfId="0" applyNumberFormat="1" applyFont="1" applyBorder="1" applyAlignment="1">
      <alignment vertical="top" wrapText="1"/>
    </xf>
    <xf numFmtId="3" fontId="1" fillId="3" borderId="6" xfId="0" applyNumberFormat="1" applyFont="1" applyFill="1" applyBorder="1" applyAlignment="1" applyProtection="1">
      <alignment vertical="top" wrapText="1"/>
      <protection locked="0"/>
    </xf>
    <xf numFmtId="3" fontId="11" fillId="0" borderId="2" xfId="0" applyNumberFormat="1" applyFont="1" applyBorder="1" applyAlignment="1">
      <alignment vertical="top" wrapText="1"/>
    </xf>
    <xf numFmtId="165" fontId="1" fillId="3" borderId="6" xfId="0" applyNumberFormat="1" applyFont="1" applyFill="1" applyBorder="1" applyAlignment="1" applyProtection="1">
      <alignment vertical="top" wrapText="1"/>
      <protection locked="0"/>
    </xf>
    <xf numFmtId="165" fontId="11" fillId="0" borderId="2" xfId="0" applyNumberFormat="1" applyFont="1" applyBorder="1" applyAlignment="1">
      <alignment vertical="top" wrapText="1"/>
    </xf>
    <xf numFmtId="168" fontId="1" fillId="3" borderId="6" xfId="0" applyNumberFormat="1" applyFont="1" applyFill="1" applyBorder="1" applyAlignment="1" applyProtection="1">
      <alignment vertical="top" wrapText="1"/>
      <protection locked="0"/>
    </xf>
    <xf numFmtId="168" fontId="11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14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" fontId="6" fillId="2" borderId="0" xfId="0" applyNumberFormat="1" applyFont="1" applyFill="1" applyAlignment="1">
      <alignment horizont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13" fillId="0" borderId="0" xfId="0" applyFont="1" applyAlignment="1"/>
  </cellXfs>
  <cellStyles count="1">
    <cellStyle name="Normal" xfId="0" builtinId="0"/>
  </cellStyles>
  <dxfs count="1">
    <dxf>
      <font>
        <b/>
        <i val="0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 mesmo choque, duas dores: onde EVE e NII discordam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Simulador!$B$113</c:f>
              <c:strCache>
                <c:ptCount val="1"/>
                <c:pt idx="0">
                  <c:v>ΔEVE (R$ mi)</c:v>
                </c:pt>
              </c:strCache>
            </c:strRef>
          </c:tx>
          <c:spPr>
            <a:solidFill>
              <a:srgbClr val="0C63AA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75-4696-A373-146AEB97B2AD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75-4696-A373-146AEB97B2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Simulador!$A$114:$A$119</c:f>
              <c:strCache>
                <c:ptCount val="6"/>
                <c:pt idx="0">
                  <c:v>1 · Paralelo alta</c:v>
                </c:pt>
                <c:pt idx="1">
                  <c:v>2 · Paralelo baixa</c:v>
                </c:pt>
                <c:pt idx="2">
                  <c:v>3 · Steepener (curta cai, longa sobe)</c:v>
                </c:pt>
                <c:pt idx="3">
                  <c:v>4 · Flattener (curta sobe, longa cai)</c:v>
                </c:pt>
                <c:pt idx="4">
                  <c:v>5 · Choque curto — alta</c:v>
                </c:pt>
                <c:pt idx="5">
                  <c:v>6 · Choque curto — baixa</c:v>
                </c:pt>
              </c:strCache>
            </c:strRef>
          </c:cat>
          <c:val>
            <c:numRef>
              <c:f>Simulador!$B$114:$B$119</c:f>
              <c:numCache>
                <c:formatCode>#,##0.00;[Red]\(#,##0.00\);"–"</c:formatCode>
                <c:ptCount val="6"/>
                <c:pt idx="0">
                  <c:v>-5.0599999999999996</c:v>
                </c:pt>
                <c:pt idx="1">
                  <c:v>5.0599999999999996</c:v>
                </c:pt>
                <c:pt idx="2">
                  <c:v>-0.23100000000000001</c:v>
                </c:pt>
                <c:pt idx="3">
                  <c:v>0.14299999999999999</c:v>
                </c:pt>
                <c:pt idx="4">
                  <c:v>-1.54</c:v>
                </c:pt>
                <c:pt idx="5">
                  <c:v>1.54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5-4696-A373-146AEB97B2AD}"/>
            </c:ext>
          </c:extLst>
        </c:ser>
        <c:ser>
          <c:idx val="1"/>
          <c:order val="1"/>
          <c:tx>
            <c:strRef>
              <c:f>Simulador!$C$113</c:f>
              <c:strCache>
                <c:ptCount val="1"/>
                <c:pt idx="0">
                  <c:v>ΔNII (R$ mi)</c:v>
                </c:pt>
              </c:strCache>
            </c:strRef>
          </c:tx>
          <c:spPr>
            <a:solidFill>
              <a:srgbClr val="8A9099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75-4696-A373-146AEB97B2AD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75-4696-A373-146AEB97B2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Simulador!$A$114:$A$119</c:f>
              <c:strCache>
                <c:ptCount val="6"/>
                <c:pt idx="0">
                  <c:v>1 · Paralelo alta</c:v>
                </c:pt>
                <c:pt idx="1">
                  <c:v>2 · Paralelo baixa</c:v>
                </c:pt>
                <c:pt idx="2">
                  <c:v>3 · Steepener (curta cai, longa sobe)</c:v>
                </c:pt>
                <c:pt idx="3">
                  <c:v>4 · Flattener (curta sobe, longa cai)</c:v>
                </c:pt>
                <c:pt idx="4">
                  <c:v>5 · Choque curto — alta</c:v>
                </c:pt>
                <c:pt idx="5">
                  <c:v>6 · Choque curto — baixa</c:v>
                </c:pt>
              </c:strCache>
            </c:strRef>
          </c:cat>
          <c:val>
            <c:numRef>
              <c:f>Simulador!$C$114:$C$119</c:f>
              <c:numCache>
                <c:formatCode>#,##0.00;[Red]\(#,##0.00\);"–"</c:formatCode>
                <c:ptCount val="6"/>
                <c:pt idx="0">
                  <c:v>-4</c:v>
                </c:pt>
                <c:pt idx="1">
                  <c:v>4</c:v>
                </c:pt>
                <c:pt idx="2">
                  <c:v>1.3</c:v>
                </c:pt>
                <c:pt idx="3">
                  <c:v>-1.6</c:v>
                </c:pt>
                <c:pt idx="4">
                  <c:v>-3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75-4696-A373-146AEB97B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7105375"/>
        <c:axId val="875220015"/>
      </c:barChart>
      <c:catAx>
        <c:axId val="101710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5220015"/>
        <c:crosses val="autoZero"/>
        <c:auto val="1"/>
        <c:lblAlgn val="ctr"/>
        <c:lblOffset val="100"/>
        <c:noMultiLvlLbl val="0"/>
      </c:catAx>
      <c:valAx>
        <c:axId val="87522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R$ milhões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.##000;[Red]\(#.##00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1710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DV01 de juros líquido × % de núcleo dos depósitos (prazo 3 anos)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Simulador!$A$122</c:f>
              <c:strCache>
                <c:ptCount val="1"/>
                <c:pt idx="0">
                  <c:v>% núcleo dos depósitos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Simulador!$A$123:$A$127</c:f>
              <c:numCache>
                <c:formatCode>0.0%</c:formatCode>
                <c:ptCount val="5"/>
                <c:pt idx="0">
                  <c:v>0.5</c:v>
                </c:pt>
                <c:pt idx="1">
                  <c:v>0.6</c:v>
                </c:pt>
                <c:pt idx="2">
                  <c:v>0.7</c:v>
                </c:pt>
                <c:pt idx="3">
                  <c:v>0.8</c:v>
                </c:pt>
                <c:pt idx="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F-45A5-B512-B12A377FC0BB}"/>
            </c:ext>
          </c:extLst>
        </c:ser>
        <c:ser>
          <c:idx val="1"/>
          <c:order val="1"/>
          <c:tx>
            <c:strRef>
              <c:f>Simulador!$B$122</c:f>
              <c:strCache>
                <c:ptCount val="1"/>
                <c:pt idx="0">
                  <c:v>DV01 de juros líquido (R$/bp)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Simulador!$B$123:$B$127</c:f>
              <c:numCache>
                <c:formatCode>#,##0;[Red]\(#,##0\);"–"</c:formatCode>
                <c:ptCount val="5"/>
                <c:pt idx="0">
                  <c:v>-19700</c:v>
                </c:pt>
                <c:pt idx="1">
                  <c:v>-28700</c:v>
                </c:pt>
                <c:pt idx="2">
                  <c:v>-37699.999999999993</c:v>
                </c:pt>
                <c:pt idx="3">
                  <c:v>-46700.000000000015</c:v>
                </c:pt>
                <c:pt idx="4">
                  <c:v>-55700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FF-45A5-B512-B12A377FC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7105839"/>
        <c:axId val="875212335"/>
      </c:lineChart>
      <c:catAx>
        <c:axId val="10171058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5212335"/>
        <c:crosses val="autoZero"/>
        <c:auto val="1"/>
        <c:lblAlgn val="ctr"/>
        <c:lblOffset val="100"/>
        <c:noMultiLvlLbl val="0"/>
      </c:catAx>
      <c:valAx>
        <c:axId val="87521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;[Red]\(#.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17105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441960</xdr:colOff>
      <xdr:row>29</xdr:row>
      <xdr:rowOff>0</xdr:rowOff>
    </xdr:from>
    <xdr:to>
      <xdr:col>26</xdr:col>
      <xdr:colOff>266700</xdr:colOff>
      <xdr:row>52</xdr:row>
      <xdr:rowOff>0</xdr:rowOff>
    </xdr:to>
    <xdr:graphicFrame macro="">
      <xdr:nvGraphicFramePr>
        <xdr:cNvPr id="2" name="EVExNII">
          <a:extLst>
            <a:ext uri="{FF2B5EF4-FFF2-40B4-BE49-F238E27FC236}">
              <a16:creationId xmlns:a16="http://schemas.microsoft.com/office/drawing/2014/main" id="{C8C264DC-EF86-7E02-95B7-0329953EA7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441960</xdr:colOff>
      <xdr:row>59</xdr:row>
      <xdr:rowOff>0</xdr:rowOff>
    </xdr:from>
    <xdr:to>
      <xdr:col>26</xdr:col>
      <xdr:colOff>266700</xdr:colOff>
      <xdr:row>78</xdr:row>
      <xdr:rowOff>0</xdr:rowOff>
    </xdr:to>
    <xdr:graphicFrame macro="">
      <xdr:nvGraphicFramePr>
        <xdr:cNvPr id="3" name="DV01xNucleo">
          <a:extLst>
            <a:ext uri="{FF2B5EF4-FFF2-40B4-BE49-F238E27FC236}">
              <a16:creationId xmlns:a16="http://schemas.microsoft.com/office/drawing/2014/main" id="{4D10B8C6-5D12-4EFB-73D2-BFAC7945E5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A99E1B3-4388-4D44-A37A-C5F16567EA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daf16946-3d17-4bb5-9da4-5b9041ca5814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A9ED3FBC-1426-4755-89D3-BBF8FA8CCA7A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01b7061a-2651-4891-8f62-44ef83c6b346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BFD3-BD34-4A3A-A438-BD4C99F4AC70}">
  <dimension ref="A1:C40"/>
  <sheetViews>
    <sheetView showGridLines="0" topLeftCell="A28" workbookViewId="0">
      <selection activeCell="A18" sqref="A18:C18"/>
    </sheetView>
  </sheetViews>
  <sheetFormatPr defaultRowHeight="14.4" x14ac:dyDescent="0.3"/>
  <cols>
    <col min="1" max="1" width="63" customWidth="1"/>
    <col min="2" max="3" width="42.5546875" customWidth="1"/>
  </cols>
  <sheetData>
    <row r="1" spans="1:3" ht="24" customHeight="1" x14ac:dyDescent="0.3">
      <c r="A1" s="65" t="s">
        <v>0</v>
      </c>
      <c r="B1" s="65"/>
      <c r="C1" s="65"/>
    </row>
    <row r="2" spans="1:3" ht="19.95" customHeight="1" x14ac:dyDescent="0.3">
      <c r="A2" s="66" t="s">
        <v>113</v>
      </c>
      <c r="B2" s="66"/>
      <c r="C2" s="66"/>
    </row>
    <row r="3" spans="1:3" x14ac:dyDescent="0.3">
      <c r="A3" s="28"/>
      <c r="B3" s="28"/>
      <c r="C3" s="28"/>
    </row>
    <row r="4" spans="1:3" ht="19.95" customHeight="1" x14ac:dyDescent="0.3">
      <c r="A4" s="61" t="s">
        <v>114</v>
      </c>
      <c r="B4" s="61"/>
      <c r="C4" s="61"/>
    </row>
    <row r="5" spans="1:3" ht="61.95" customHeight="1" x14ac:dyDescent="0.3">
      <c r="A5" s="62" t="s">
        <v>115</v>
      </c>
      <c r="B5" s="62"/>
      <c r="C5" s="62"/>
    </row>
    <row r="6" spans="1:3" x14ac:dyDescent="0.3">
      <c r="A6" s="28"/>
      <c r="B6" s="28"/>
      <c r="C6" s="28"/>
    </row>
    <row r="7" spans="1:3" ht="15.6" x14ac:dyDescent="0.3">
      <c r="A7" s="30" t="s">
        <v>116</v>
      </c>
      <c r="B7" s="28"/>
      <c r="C7" s="28"/>
    </row>
    <row r="8" spans="1:3" x14ac:dyDescent="0.3">
      <c r="A8" s="32"/>
      <c r="B8" s="33" t="s">
        <v>117</v>
      </c>
      <c r="C8" s="34" t="s">
        <v>118</v>
      </c>
    </row>
    <row r="9" spans="1:3" x14ac:dyDescent="0.3">
      <c r="A9" s="35" t="s">
        <v>119</v>
      </c>
      <c r="B9" s="36" t="s">
        <v>120</v>
      </c>
      <c r="C9" s="37" t="s">
        <v>121</v>
      </c>
    </row>
    <row r="10" spans="1:3" x14ac:dyDescent="0.3">
      <c r="A10" s="35" t="s">
        <v>122</v>
      </c>
      <c r="B10" s="36" t="s">
        <v>123</v>
      </c>
      <c r="C10" s="37" t="s">
        <v>124</v>
      </c>
    </row>
    <row r="11" spans="1:3" x14ac:dyDescent="0.3">
      <c r="A11" s="35" t="s">
        <v>125</v>
      </c>
      <c r="B11" s="36" t="s">
        <v>126</v>
      </c>
      <c r="C11" s="37" t="s">
        <v>127</v>
      </c>
    </row>
    <row r="12" spans="1:3" x14ac:dyDescent="0.3">
      <c r="A12" s="35" t="s">
        <v>128</v>
      </c>
      <c r="B12" s="36" t="s">
        <v>129</v>
      </c>
      <c r="C12" s="37" t="s">
        <v>130</v>
      </c>
    </row>
    <row r="13" spans="1:3" x14ac:dyDescent="0.3">
      <c r="A13" s="35" t="s">
        <v>131</v>
      </c>
      <c r="B13" s="36" t="s">
        <v>132</v>
      </c>
      <c r="C13" s="37" t="s">
        <v>133</v>
      </c>
    </row>
    <row r="14" spans="1:3" x14ac:dyDescent="0.3">
      <c r="A14" s="28"/>
      <c r="B14" s="28"/>
      <c r="C14" s="28"/>
    </row>
    <row r="15" spans="1:3" ht="19.95" customHeight="1" x14ac:dyDescent="0.3">
      <c r="A15" s="61" t="s">
        <v>134</v>
      </c>
      <c r="B15" s="61"/>
      <c r="C15" s="61"/>
    </row>
    <row r="16" spans="1:3" ht="34.049999999999997" customHeight="1" x14ac:dyDescent="0.3">
      <c r="A16" s="62" t="s">
        <v>135</v>
      </c>
      <c r="B16" s="62"/>
      <c r="C16" s="62"/>
    </row>
    <row r="17" spans="1:3" ht="19.95" customHeight="1" x14ac:dyDescent="0.3">
      <c r="A17" s="62" t="s">
        <v>136</v>
      </c>
      <c r="B17" s="62"/>
      <c r="C17" s="62"/>
    </row>
    <row r="18" spans="1:3" ht="34.049999999999997" customHeight="1" x14ac:dyDescent="0.3">
      <c r="A18" s="62" t="s">
        <v>137</v>
      </c>
      <c r="B18" s="62"/>
      <c r="C18" s="62"/>
    </row>
    <row r="19" spans="1:3" x14ac:dyDescent="0.3">
      <c r="A19" s="28"/>
      <c r="B19" s="28"/>
      <c r="C19" s="28"/>
    </row>
    <row r="20" spans="1:3" ht="19.95" customHeight="1" x14ac:dyDescent="0.3">
      <c r="A20" s="61" t="s">
        <v>138</v>
      </c>
      <c r="B20" s="61"/>
      <c r="C20" s="61"/>
    </row>
    <row r="21" spans="1:3" ht="34.049999999999997" customHeight="1" x14ac:dyDescent="0.3">
      <c r="A21" s="62" t="s">
        <v>139</v>
      </c>
      <c r="B21" s="62"/>
      <c r="C21" s="62"/>
    </row>
    <row r="22" spans="1:3" x14ac:dyDescent="0.3">
      <c r="A22" s="28"/>
      <c r="B22" s="28"/>
      <c r="C22" s="28"/>
    </row>
    <row r="23" spans="1:3" ht="19.95" customHeight="1" x14ac:dyDescent="0.3">
      <c r="A23" s="63" t="s">
        <v>140</v>
      </c>
      <c r="B23" s="63"/>
      <c r="C23" s="63"/>
    </row>
    <row r="24" spans="1:3" ht="19.95" customHeight="1" x14ac:dyDescent="0.3">
      <c r="A24" s="64" t="s">
        <v>141</v>
      </c>
      <c r="B24" s="64"/>
      <c r="C24" s="64"/>
    </row>
    <row r="25" spans="1:3" x14ac:dyDescent="0.3">
      <c r="A25" s="28"/>
      <c r="B25" s="28"/>
      <c r="C25" s="28"/>
    </row>
    <row r="26" spans="1:3" ht="19.95" customHeight="1" x14ac:dyDescent="0.3">
      <c r="A26" s="63" t="s">
        <v>142</v>
      </c>
      <c r="B26" s="63"/>
      <c r="C26" s="63"/>
    </row>
    <row r="27" spans="1:3" ht="34.049999999999997" customHeight="1" x14ac:dyDescent="0.3">
      <c r="A27" s="64" t="s">
        <v>143</v>
      </c>
      <c r="B27" s="64"/>
      <c r="C27" s="64"/>
    </row>
    <row r="28" spans="1:3" x14ac:dyDescent="0.3">
      <c r="A28" s="28"/>
      <c r="B28" s="28"/>
      <c r="C28" s="28"/>
    </row>
    <row r="29" spans="1:3" ht="19.95" customHeight="1" x14ac:dyDescent="0.3">
      <c r="A29" s="61" t="s">
        <v>144</v>
      </c>
      <c r="B29" s="61"/>
      <c r="C29" s="61"/>
    </row>
    <row r="30" spans="1:3" ht="34.049999999999997" customHeight="1" x14ac:dyDescent="0.3">
      <c r="A30" s="62" t="s">
        <v>145</v>
      </c>
      <c r="B30" s="62"/>
      <c r="C30" s="62"/>
    </row>
    <row r="31" spans="1:3" x14ac:dyDescent="0.3">
      <c r="A31" s="28"/>
      <c r="B31" s="28"/>
      <c r="C31" s="28"/>
    </row>
    <row r="32" spans="1:3" ht="19.95" customHeight="1" x14ac:dyDescent="0.3">
      <c r="A32" s="61" t="s">
        <v>146</v>
      </c>
      <c r="B32" s="61"/>
      <c r="C32" s="61"/>
    </row>
    <row r="33" spans="1:3" ht="34.049999999999997" customHeight="1" x14ac:dyDescent="0.3">
      <c r="A33" s="62" t="s">
        <v>147</v>
      </c>
      <c r="B33" s="62"/>
      <c r="C33" s="62"/>
    </row>
    <row r="34" spans="1:3" x14ac:dyDescent="0.3">
      <c r="A34" s="28"/>
      <c r="B34" s="28"/>
      <c r="C34" s="28"/>
    </row>
    <row r="35" spans="1:3" ht="19.95" customHeight="1" x14ac:dyDescent="0.3">
      <c r="A35" s="61" t="s">
        <v>148</v>
      </c>
      <c r="B35" s="61"/>
      <c r="C35" s="61"/>
    </row>
    <row r="36" spans="1:3" ht="34.049999999999997" customHeight="1" x14ac:dyDescent="0.3">
      <c r="A36" s="62" t="s">
        <v>149</v>
      </c>
      <c r="B36" s="62"/>
      <c r="C36" s="62"/>
    </row>
    <row r="37" spans="1:3" x14ac:dyDescent="0.3">
      <c r="A37" s="28"/>
      <c r="B37" s="28"/>
      <c r="C37" s="28"/>
    </row>
    <row r="38" spans="1:3" ht="40.049999999999997" customHeight="1" x14ac:dyDescent="0.3">
      <c r="A38" s="61" t="s">
        <v>150</v>
      </c>
      <c r="B38" s="61"/>
      <c r="C38" s="61"/>
    </row>
    <row r="39" spans="1:3" ht="19.95" customHeight="1" x14ac:dyDescent="0.3">
      <c r="A39" s="61" t="s">
        <v>151</v>
      </c>
      <c r="B39" s="61"/>
      <c r="C39" s="61"/>
    </row>
    <row r="40" spans="1:3" x14ac:dyDescent="0.3">
      <c r="A40" s="28"/>
      <c r="B40" s="28"/>
      <c r="C40" s="28"/>
    </row>
  </sheetData>
  <sheetProtection sheet="1" objects="1" scenarios="1"/>
  <mergeCells count="22">
    <mergeCell ref="A24:C24"/>
    <mergeCell ref="A1:C1"/>
    <mergeCell ref="A2:C2"/>
    <mergeCell ref="A4:C4"/>
    <mergeCell ref="A5:C5"/>
    <mergeCell ref="A15:C15"/>
    <mergeCell ref="A16:C16"/>
    <mergeCell ref="A17:C17"/>
    <mergeCell ref="A18:C18"/>
    <mergeCell ref="A20:C20"/>
    <mergeCell ref="A21:C21"/>
    <mergeCell ref="A23:C23"/>
    <mergeCell ref="A35:C35"/>
    <mergeCell ref="A36:C36"/>
    <mergeCell ref="A38:C38"/>
    <mergeCell ref="A39:C39"/>
    <mergeCell ref="A26:C26"/>
    <mergeCell ref="A27:C27"/>
    <mergeCell ref="A29:C29"/>
    <mergeCell ref="A30:C30"/>
    <mergeCell ref="A32:C32"/>
    <mergeCell ref="A33:C3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136D-A0A1-4FE5-AE20-6D5725E4407F}">
  <dimension ref="A1:N130"/>
  <sheetViews>
    <sheetView showGridLines="0" topLeftCell="A113" workbookViewId="0">
      <selection activeCell="B84" sqref="B84"/>
    </sheetView>
  </sheetViews>
  <sheetFormatPr defaultRowHeight="14.4" x14ac:dyDescent="0.3"/>
  <cols>
    <col min="1" max="1" width="82.44140625" customWidth="1"/>
    <col min="2" max="2" width="19.44140625" customWidth="1"/>
    <col min="3" max="5" width="17.5546875" customWidth="1"/>
    <col min="6" max="6" width="18.5546875" customWidth="1"/>
    <col min="7" max="8" width="16.33203125" customWidth="1"/>
    <col min="9" max="13" width="17.5546875" customWidth="1"/>
    <col min="14" max="14" width="15.21875" customWidth="1"/>
  </cols>
  <sheetData>
    <row r="1" spans="1:14" ht="21" x14ac:dyDescent="0.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2.8" x14ac:dyDescent="0.3">
      <c r="A2" s="59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6" x14ac:dyDescent="0.3">
      <c r="A4" s="3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7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1"/>
    </row>
    <row r="6" spans="1:14" x14ac:dyDescent="0.3">
      <c r="A6" s="1" t="s">
        <v>16</v>
      </c>
      <c r="B6" s="1" t="s">
        <v>17</v>
      </c>
      <c r="C6" s="7">
        <v>252</v>
      </c>
      <c r="D6" s="7">
        <v>252</v>
      </c>
      <c r="E6" s="8">
        <v>100</v>
      </c>
      <c r="F6" s="9">
        <v>8800</v>
      </c>
      <c r="G6" s="9">
        <v>0</v>
      </c>
      <c r="H6" s="10">
        <v>0</v>
      </c>
      <c r="I6" s="6" t="s">
        <v>18</v>
      </c>
      <c r="J6" s="11">
        <f t="shared" ref="J6:J11" si="0">IF($B6="Ativo",1,-1)</f>
        <v>1</v>
      </c>
      <c r="K6" s="11">
        <f>IF($J6&lt;0,$J6*$B$53,$J6)</f>
        <v>1</v>
      </c>
      <c r="L6" s="12" cm="1">
        <f t="array" ref="L6">IFERROR(INDEX($B$32:$E$37,$B$72,MATCH($C6,$B$31:$E$31,0)),0)</f>
        <v>200</v>
      </c>
      <c r="M6" s="13">
        <f>-($J6*$F6*$L6+$J6*$G6*$B$38)/1000000</f>
        <v>-1.76</v>
      </c>
      <c r="N6" s="1"/>
    </row>
    <row r="7" spans="1:14" x14ac:dyDescent="0.3">
      <c r="A7" s="1" t="s">
        <v>19</v>
      </c>
      <c r="B7" s="1" t="s">
        <v>17</v>
      </c>
      <c r="C7" s="7">
        <v>504</v>
      </c>
      <c r="D7" s="7" t="s">
        <v>20</v>
      </c>
      <c r="E7" s="8">
        <v>100</v>
      </c>
      <c r="F7" s="9">
        <v>16500</v>
      </c>
      <c r="G7" s="9">
        <v>0</v>
      </c>
      <c r="H7" s="10">
        <v>0</v>
      </c>
      <c r="I7" s="6" t="s">
        <v>18</v>
      </c>
      <c r="J7" s="11">
        <f t="shared" si="0"/>
        <v>1</v>
      </c>
      <c r="K7" s="11">
        <f t="shared" ref="K7:K11" si="1">IF($J7&lt;0,$J7*$B$53,$J7)</f>
        <v>1</v>
      </c>
      <c r="L7" s="12" cm="1">
        <f t="array" ref="L7">IFERROR(INDEX($B$32:$E$37,$B$72,MATCH($C7,$B$31:$E$31,0)),0)</f>
        <v>200</v>
      </c>
      <c r="M7" s="13">
        <f t="shared" ref="M7:M11" si="2">-($J7*$F7*$L7+$J7*$G7*$B$38)/1000000</f>
        <v>-3.3</v>
      </c>
      <c r="N7" s="1"/>
    </row>
    <row r="8" spans="1:14" x14ac:dyDescent="0.3">
      <c r="A8" s="1" t="s">
        <v>21</v>
      </c>
      <c r="B8" s="1" t="s">
        <v>17</v>
      </c>
      <c r="C8" s="7">
        <v>1260</v>
      </c>
      <c r="D8" s="7">
        <v>0</v>
      </c>
      <c r="E8" s="8">
        <v>100</v>
      </c>
      <c r="F8" s="9">
        <v>0</v>
      </c>
      <c r="G8" s="9">
        <v>50000</v>
      </c>
      <c r="H8" s="10">
        <v>1</v>
      </c>
      <c r="I8" s="6" t="s">
        <v>22</v>
      </c>
      <c r="J8" s="11">
        <f t="shared" si="0"/>
        <v>1</v>
      </c>
      <c r="K8" s="11">
        <f t="shared" si="1"/>
        <v>1</v>
      </c>
      <c r="L8" s="12" cm="1">
        <f t="array" ref="L8">IFERROR(INDEX($B$32:$E$37,$B$72,MATCH($C8,$B$31:$E$31,0)),0)</f>
        <v>200</v>
      </c>
      <c r="M8" s="13">
        <f t="shared" si="2"/>
        <v>0</v>
      </c>
      <c r="N8" s="1"/>
    </row>
    <row r="9" spans="1:14" x14ac:dyDescent="0.3">
      <c r="A9" s="1" t="s">
        <v>23</v>
      </c>
      <c r="B9" s="1" t="s">
        <v>17</v>
      </c>
      <c r="C9" s="7">
        <v>504</v>
      </c>
      <c r="D9" s="7">
        <v>0</v>
      </c>
      <c r="E9" s="8">
        <v>100</v>
      </c>
      <c r="F9" s="9">
        <v>0</v>
      </c>
      <c r="G9" s="9">
        <v>20000</v>
      </c>
      <c r="H9" s="10">
        <v>1</v>
      </c>
      <c r="I9" s="6" t="s">
        <v>22</v>
      </c>
      <c r="J9" s="11">
        <f t="shared" si="0"/>
        <v>1</v>
      </c>
      <c r="K9" s="11">
        <f t="shared" si="1"/>
        <v>1</v>
      </c>
      <c r="L9" s="12" cm="1">
        <f t="array" ref="L9">IFERROR(INDEX($B$32:$E$37,$B$72,MATCH($C9,$B$31:$E$31,0)),0)</f>
        <v>200</v>
      </c>
      <c r="M9" s="13">
        <f t="shared" si="2"/>
        <v>0</v>
      </c>
      <c r="N9" s="1"/>
    </row>
    <row r="10" spans="1:14" x14ac:dyDescent="0.3">
      <c r="A10" s="1" t="s">
        <v>24</v>
      </c>
      <c r="B10" s="1" t="s">
        <v>25</v>
      </c>
      <c r="C10" s="7">
        <v>0</v>
      </c>
      <c r="D10" s="7">
        <v>0</v>
      </c>
      <c r="E10" s="8">
        <v>300</v>
      </c>
      <c r="F10" s="9">
        <v>0</v>
      </c>
      <c r="G10" s="9">
        <v>0</v>
      </c>
      <c r="H10" s="10">
        <v>1</v>
      </c>
      <c r="I10" s="6" t="s">
        <v>22</v>
      </c>
      <c r="J10" s="11">
        <f t="shared" si="0"/>
        <v>-1</v>
      </c>
      <c r="K10" s="11">
        <f t="shared" si="1"/>
        <v>-0.5</v>
      </c>
      <c r="L10" s="12" cm="1">
        <f t="array" ref="L10">IFERROR(INDEX($B$32:$E$37,$B$72,MATCH($C10,$B$31:$E$31,0)),0)</f>
        <v>200</v>
      </c>
      <c r="M10" s="13">
        <f t="shared" si="2"/>
        <v>0</v>
      </c>
      <c r="N10" s="1"/>
    </row>
    <row r="11" spans="1:14" x14ac:dyDescent="0.3">
      <c r="A11" s="1" t="s">
        <v>26</v>
      </c>
      <c r="B11" s="1" t="s">
        <v>25</v>
      </c>
      <c r="C11" s="7">
        <v>504</v>
      </c>
      <c r="D11" s="7">
        <v>0</v>
      </c>
      <c r="E11" s="8">
        <v>100</v>
      </c>
      <c r="F11" s="9">
        <v>0</v>
      </c>
      <c r="G11" s="9">
        <v>20000</v>
      </c>
      <c r="H11" s="10">
        <v>1</v>
      </c>
      <c r="I11" s="6" t="s">
        <v>22</v>
      </c>
      <c r="J11" s="11">
        <f t="shared" si="0"/>
        <v>-1</v>
      </c>
      <c r="K11" s="11">
        <f t="shared" si="1"/>
        <v>-0.5</v>
      </c>
      <c r="L11" s="12" cm="1">
        <f t="array" ref="L11">IFERROR(INDEX($B$32:$E$37,$B$72,MATCH($C11,$B$31:$E$31,0)),0)</f>
        <v>200</v>
      </c>
      <c r="M11" s="13">
        <f t="shared" si="2"/>
        <v>0</v>
      </c>
      <c r="N11" s="1"/>
    </row>
    <row r="12" spans="1:14" ht="34.200000000000003" x14ac:dyDescent="0.3">
      <c r="A12" s="59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4.200000000000003" x14ac:dyDescent="0.3">
      <c r="A13" s="59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6" x14ac:dyDescent="0.3">
      <c r="A15" s="3" t="s">
        <v>29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 t="s">
        <v>30</v>
      </c>
      <c r="B16" s="15" cm="1">
        <f t="array" ref="B16">SUMPRODUCT(($D$6:$D$11=0)*($J$6:$J$11&gt;0)*$E$6:$E$11*$H$6:$H$11)</f>
        <v>200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 t="s">
        <v>31</v>
      </c>
      <c r="B17" s="15" cm="1">
        <f t="array" ref="B17">SUMPRODUCT(($D$6:$D$11=0)*($J$6:$J$11&lt;0)*$E$6:$E$11*$H$6:$H$11)</f>
        <v>400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7.399999999999999" x14ac:dyDescent="0.3">
      <c r="A18" s="1" t="s">
        <v>32</v>
      </c>
      <c r="B18" s="16">
        <f>B16-B17</f>
        <v>-200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6" x14ac:dyDescent="0.3">
      <c r="A20" s="3" t="s">
        <v>33</v>
      </c>
      <c r="B20" s="1" t="s">
        <v>17</v>
      </c>
      <c r="C20" s="1" t="s">
        <v>25</v>
      </c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7.399999999999999" x14ac:dyDescent="0.3">
      <c r="A21" s="1" t="s">
        <v>35</v>
      </c>
      <c r="B21" s="15">
        <f>SUMIF($B$6:$B$11,"Ativo",$F$6:$F$11)</f>
        <v>25300</v>
      </c>
      <c r="C21" s="15">
        <f>SUMIF($B$6:$B$11,"Passivo",$F$6:$F$11)</f>
        <v>0</v>
      </c>
      <c r="D21" s="16">
        <f>B21-C21</f>
        <v>25300</v>
      </c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7.399999999999999" x14ac:dyDescent="0.3">
      <c r="A22" s="1" t="s">
        <v>36</v>
      </c>
      <c r="B22" s="15">
        <f>SUMIF($B$6:$B$11,"Ativo",$G$6:$G$11)</f>
        <v>70000</v>
      </c>
      <c r="C22" s="15">
        <f>SUMIF($B$6:$B$11,"Passivo",$G$6:$G$11)</f>
        <v>20000</v>
      </c>
      <c r="D22" s="16">
        <f>B22-C22</f>
        <v>50000</v>
      </c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6" x14ac:dyDescent="0.3">
      <c r="A24" s="3" t="s">
        <v>37</v>
      </c>
      <c r="B24" s="17">
        <v>0</v>
      </c>
      <c r="C24" s="17">
        <v>252</v>
      </c>
      <c r="D24" s="17">
        <v>504</v>
      </c>
      <c r="E24" s="17">
        <v>1260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 t="s">
        <v>38</v>
      </c>
      <c r="B25" s="15" cm="1">
        <f t="array" ref="B25">SUMPRODUCT(($C$6:$C$11=B$24)*$J$6:$J$11*$F$6:$F$11)</f>
        <v>0</v>
      </c>
      <c r="C25" s="15" cm="1">
        <f t="array" ref="C25">SUMPRODUCT(($C$6:$C$11=C$24)*$J$6:$J$11*$F$6:$F$11)</f>
        <v>8800</v>
      </c>
      <c r="D25" s="15" cm="1">
        <f t="array" ref="D25">SUMPRODUCT(($C$6:$C$11=D$24)*$J$6:$J$11*$F$6:$F$11)</f>
        <v>16500</v>
      </c>
      <c r="E25" s="15" cm="1">
        <f t="array" ref="E25">SUMPRODUCT(($C$6:$C$11=E$24)*$J$6:$J$11*$F$6:$F$11)</f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 t="s">
        <v>39</v>
      </c>
      <c r="B26" s="15">
        <f>B25-IF(B$24=$B$58,$B$56,0)</f>
        <v>0</v>
      </c>
      <c r="C26" s="15">
        <f t="shared" ref="C26:E26" si="3">C25-IF(C$24=$B$58,$B$56,0)</f>
        <v>8800</v>
      </c>
      <c r="D26" s="15">
        <f t="shared" si="3"/>
        <v>-46499.999999999993</v>
      </c>
      <c r="E26" s="15">
        <f t="shared" si="3"/>
        <v>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 t="s">
        <v>40</v>
      </c>
      <c r="B27" s="15" cm="1">
        <f t="array" ref="B27">SUMPRODUCT(($C$6:$C$11=B$24)*$J$6:$J$11*$G$6:$G$11)</f>
        <v>0</v>
      </c>
      <c r="C27" s="15" cm="1">
        <f t="array" ref="C27">SUMPRODUCT(($C$6:$C$11=C$24)*$J$6:$J$11*$G$6:$G$11)</f>
        <v>0</v>
      </c>
      <c r="D27" s="15" cm="1">
        <f t="array" ref="D27">SUMPRODUCT(($C$6:$C$11=D$24)*$J$6:$J$11*$G$6:$G$11)</f>
        <v>0</v>
      </c>
      <c r="E27" s="15" cm="1">
        <f t="array" ref="E27">SUMPRODUCT(($C$6:$C$11=E$24)*$J$6:$J$11*$G$6:$G$11)</f>
        <v>50000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ht="34.200000000000003" x14ac:dyDescent="0.3">
      <c r="A28" s="59" t="str">
        <f>"Leitura automática: o spread líquido do vértice de 504 du é "&amp;TEXT(D27,"#.##0")&amp;" R$/bp — a LF comprada e a LF emitida se cancelam. Todo o risco de spread líquido (R$ "&amp;TEXT(E27,"#.##0")&amp;"/bp) mora em um único vértice: a LFT de 1.260 du. As duas LFs se anulam."</f>
        <v>Leitura automática: o spread líquido do vértice de 504 du é 0 R$/bp — a LF comprada e a LF emitida se cancelam. Todo o risco de spread líquido (R$ 50.000/bp) mora em um único vértice: a LFT de 1.260 du. As duas LFs se anulam.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6" x14ac:dyDescent="0.3">
      <c r="A30" s="3" t="s">
        <v>41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5" t="s">
        <v>42</v>
      </c>
      <c r="B31" s="5">
        <v>0</v>
      </c>
      <c r="C31" s="5">
        <v>252</v>
      </c>
      <c r="D31" s="5">
        <v>504</v>
      </c>
      <c r="E31" s="5">
        <v>1260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 t="s">
        <v>43</v>
      </c>
      <c r="B32" s="18">
        <v>200</v>
      </c>
      <c r="C32" s="18">
        <v>200</v>
      </c>
      <c r="D32" s="18">
        <v>200</v>
      </c>
      <c r="E32" s="18">
        <v>200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 t="s">
        <v>44</v>
      </c>
      <c r="B33" s="18">
        <v>-200</v>
      </c>
      <c r="C33" s="18">
        <v>-200</v>
      </c>
      <c r="D33" s="18">
        <v>-200</v>
      </c>
      <c r="E33" s="18">
        <v>-200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 t="s">
        <v>45</v>
      </c>
      <c r="B34" s="18">
        <v>-65</v>
      </c>
      <c r="C34" s="18">
        <v>-30</v>
      </c>
      <c r="D34" s="18">
        <v>30</v>
      </c>
      <c r="E34" s="18">
        <v>90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 t="s">
        <v>46</v>
      </c>
      <c r="B35" s="18">
        <v>80</v>
      </c>
      <c r="C35" s="18">
        <v>40</v>
      </c>
      <c r="D35" s="18">
        <v>-30</v>
      </c>
      <c r="E35" s="18">
        <v>-60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1" t="s">
        <v>47</v>
      </c>
      <c r="B36" s="18">
        <v>150</v>
      </c>
      <c r="C36" s="18">
        <v>100</v>
      </c>
      <c r="D36" s="18">
        <v>40</v>
      </c>
      <c r="E36" s="18">
        <v>10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 t="s">
        <v>48</v>
      </c>
      <c r="B37" s="19">
        <v>-150</v>
      </c>
      <c r="C37" s="18">
        <v>-100</v>
      </c>
      <c r="D37" s="18">
        <v>-40</v>
      </c>
      <c r="E37" s="18">
        <v>-10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 t="s">
        <v>49</v>
      </c>
      <c r="B38" s="18">
        <v>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3" t="s">
        <v>50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27" x14ac:dyDescent="0.3">
      <c r="A41" s="5" t="s">
        <v>42</v>
      </c>
      <c r="B41" s="5" t="s">
        <v>51</v>
      </c>
      <c r="C41" s="5" t="s">
        <v>52</v>
      </c>
      <c r="D41" s="5" t="s">
        <v>53</v>
      </c>
      <c r="E41" s="5" t="s">
        <v>54</v>
      </c>
      <c r="F41" s="5" t="s">
        <v>55</v>
      </c>
      <c r="G41" s="1"/>
      <c r="H41" s="1"/>
      <c r="I41" s="1"/>
      <c r="J41" s="1"/>
      <c r="K41" s="1"/>
      <c r="L41" s="1"/>
      <c r="M41" s="1"/>
      <c r="N41" s="1"/>
    </row>
    <row r="42" spans="1:14" ht="17.399999999999999" x14ac:dyDescent="0.3">
      <c r="A42" s="1" t="str">
        <f t="shared" ref="A42:A47" si="4">$A32</f>
        <v>1 · Paralelo alta</v>
      </c>
      <c r="B42" s="20">
        <f t="shared" ref="B42:B47" si="5">-SUMPRODUCT($B$25:$E$25,B32:E32)/1000000-$D$22*$B$38/1000000</f>
        <v>-5.0599999999999996</v>
      </c>
      <c r="C42" s="20">
        <f t="shared" ref="C42:C47" si="6">-SUMPRODUCT($B$26:$E$26,B32:E32)/1000000-$D$22*$B$38/1000000</f>
        <v>7.5399999999999983</v>
      </c>
      <c r="D42" s="20" cm="1">
        <f t="array" ref="D42">(SUMPRODUCT(($D$6:$D$11=$B$31)*$E$6:$E$11*$H$6:$H$11*$J$6:$J$11)*B32+SUMPRODUCT(($D$6:$D$11=$C$31)*$E$6:$E$11*$H$6:$H$11*$J$6:$J$11)*C32+SUMPRODUCT(($D$6:$D$11=$D$31)*$E$6:$E$11*$H$6:$H$11*$J$6:$J$11)*D32+SUMPRODUCT(($D$6:$D$11=$E$31)*$E$6:$E$11*$H$6:$H$11*$J$6:$J$11)*E32)/10000</f>
        <v>-4</v>
      </c>
      <c r="E42" s="20" cm="1">
        <f t="array" ref="E42">(SUMPRODUCT(($D$6:$D$11=$B$31)*$E$6:$E$11*$H$6:$H$11*$K$6:$K$11)*B32+SUMPRODUCT(($D$6:$D$11=$C$31)*$E$6:$E$11*$H$6:$H$11*$K$6:$K$11)*C32+SUMPRODUCT(($D$6:$D$11=$D$31)*$E$6:$E$11*$H$6:$H$11*$K$6:$K$11)*D32+SUMPRODUCT(($D$6:$D$11=$E$31)*$E$6:$E$11*$H$6:$H$11*$K$6:$K$11)*E32)/10000</f>
        <v>0</v>
      </c>
      <c r="F42" s="69" t="str">
        <f t="shared" ref="F42:F47" si="7">IF(SIGN(B42)*SIGN(D42)&lt;0,"⚠ SIM — as lentes discordam","não")</f>
        <v>não</v>
      </c>
      <c r="G42" s="1"/>
      <c r="H42" s="1"/>
      <c r="I42" s="1"/>
      <c r="J42" s="1"/>
      <c r="K42" s="1"/>
      <c r="L42" s="1"/>
      <c r="M42" s="1"/>
      <c r="N42" s="1"/>
    </row>
    <row r="43" spans="1:14" ht="17.399999999999999" x14ac:dyDescent="0.3">
      <c r="A43" s="1" t="str">
        <f t="shared" si="4"/>
        <v>2 · Paralelo baixa</v>
      </c>
      <c r="B43" s="20">
        <f t="shared" si="5"/>
        <v>5.0599999999999996</v>
      </c>
      <c r="C43" s="20">
        <f t="shared" si="6"/>
        <v>-7.5399999999999983</v>
      </c>
      <c r="D43" s="20" cm="1">
        <f t="array" ref="D43">(SUMPRODUCT(($D$6:$D$11=$B$31)*$E$6:$E$11*$H$6:$H$11*$J$6:$J$11)*B33+SUMPRODUCT(($D$6:$D$11=$C$31)*$E$6:$E$11*$H$6:$H$11*$J$6:$J$11)*C33+SUMPRODUCT(($D$6:$D$11=$D$31)*$E$6:$E$11*$H$6:$H$11*$J$6:$J$11)*D33+SUMPRODUCT(($D$6:$D$11=$E$31)*$E$6:$E$11*$H$6:$H$11*$J$6:$J$11)*E33)/10000</f>
        <v>4</v>
      </c>
      <c r="E43" s="20" cm="1">
        <f t="array" ref="E43">(SUMPRODUCT(($D$6:$D$11=$B$31)*$E$6:$E$11*$H$6:$H$11*$K$6:$K$11)*B33+SUMPRODUCT(($D$6:$D$11=$C$31)*$E$6:$E$11*$H$6:$H$11*$K$6:$K$11)*C33+SUMPRODUCT(($D$6:$D$11=$D$31)*$E$6:$E$11*$H$6:$H$11*$K$6:$K$11)*D33+SUMPRODUCT(($D$6:$D$11=$E$31)*$E$6:$E$11*$H$6:$H$11*$K$6:$K$11)*E33)/10000</f>
        <v>0</v>
      </c>
      <c r="F43" s="69" t="str">
        <f t="shared" si="7"/>
        <v>não</v>
      </c>
      <c r="G43" s="1"/>
      <c r="H43" s="1"/>
      <c r="I43" s="1"/>
      <c r="J43" s="1"/>
      <c r="K43" s="1"/>
      <c r="L43" s="1"/>
      <c r="M43" s="1"/>
      <c r="N43" s="1"/>
    </row>
    <row r="44" spans="1:14" ht="28.2" x14ac:dyDescent="0.3">
      <c r="A44" s="1" t="str">
        <f t="shared" si="4"/>
        <v>3 · Steepener (curta cai, longa sobe)</v>
      </c>
      <c r="B44" s="20">
        <f t="shared" si="5"/>
        <v>-0.23100000000000001</v>
      </c>
      <c r="C44" s="20">
        <f t="shared" si="6"/>
        <v>1.6589999999999998</v>
      </c>
      <c r="D44" s="20" cm="1">
        <f t="array" ref="D44">(SUMPRODUCT(($D$6:$D$11=$B$31)*$E$6:$E$11*$H$6:$H$11*$J$6:$J$11)*B34+SUMPRODUCT(($D$6:$D$11=$C$31)*$E$6:$E$11*$H$6:$H$11*$J$6:$J$11)*C34+SUMPRODUCT(($D$6:$D$11=$D$31)*$E$6:$E$11*$H$6:$H$11*$J$6:$J$11)*D34+SUMPRODUCT(($D$6:$D$11=$E$31)*$E$6:$E$11*$H$6:$H$11*$J$6:$J$11)*E34)/10000</f>
        <v>1.3</v>
      </c>
      <c r="E44" s="20" cm="1">
        <f t="array" ref="E44">(SUMPRODUCT(($D$6:$D$11=$B$31)*$E$6:$E$11*$H$6:$H$11*$K$6:$K$11)*B34+SUMPRODUCT(($D$6:$D$11=$C$31)*$E$6:$E$11*$H$6:$H$11*$K$6:$K$11)*C34+SUMPRODUCT(($D$6:$D$11=$D$31)*$E$6:$E$11*$H$6:$H$11*$K$6:$K$11)*D34+SUMPRODUCT(($D$6:$D$11=$E$31)*$E$6:$E$11*$H$6:$H$11*$K$6:$K$11)*E34)/10000</f>
        <v>0</v>
      </c>
      <c r="F44" s="69" t="str">
        <f t="shared" si="7"/>
        <v>⚠ SIM — as lentes discordam</v>
      </c>
      <c r="G44" s="1"/>
      <c r="H44" s="1"/>
      <c r="I44" s="1"/>
      <c r="J44" s="1"/>
      <c r="K44" s="1"/>
      <c r="L44" s="1"/>
      <c r="M44" s="1"/>
      <c r="N44" s="1"/>
    </row>
    <row r="45" spans="1:14" ht="28.2" x14ac:dyDescent="0.3">
      <c r="A45" s="1" t="str">
        <f t="shared" si="4"/>
        <v>4 · Flattener (curta sobe, longa cai)</v>
      </c>
      <c r="B45" s="20">
        <f t="shared" si="5"/>
        <v>0.14299999999999999</v>
      </c>
      <c r="C45" s="20">
        <f t="shared" si="6"/>
        <v>-1.7469999999999997</v>
      </c>
      <c r="D45" s="20" cm="1">
        <f t="array" ref="D45">(SUMPRODUCT(($D$6:$D$11=$B$31)*$E$6:$E$11*$H$6:$H$11*$J$6:$J$11)*B35+SUMPRODUCT(($D$6:$D$11=$C$31)*$E$6:$E$11*$H$6:$H$11*$J$6:$J$11)*C35+SUMPRODUCT(($D$6:$D$11=$D$31)*$E$6:$E$11*$H$6:$H$11*$J$6:$J$11)*D35+SUMPRODUCT(($D$6:$D$11=$E$31)*$E$6:$E$11*$H$6:$H$11*$J$6:$J$11)*E35)/10000</f>
        <v>-1.6</v>
      </c>
      <c r="E45" s="20" cm="1">
        <f t="array" ref="E45">(SUMPRODUCT(($D$6:$D$11=$B$31)*$E$6:$E$11*$H$6:$H$11*$K$6:$K$11)*B35+SUMPRODUCT(($D$6:$D$11=$C$31)*$E$6:$E$11*$H$6:$H$11*$K$6:$K$11)*C35+SUMPRODUCT(($D$6:$D$11=$D$31)*$E$6:$E$11*$H$6:$H$11*$K$6:$K$11)*D35+SUMPRODUCT(($D$6:$D$11=$E$31)*$E$6:$E$11*$H$6:$H$11*$K$6:$K$11)*E35)/10000</f>
        <v>0</v>
      </c>
      <c r="F45" s="69" t="str">
        <f t="shared" si="7"/>
        <v>⚠ SIM — as lentes discordam</v>
      </c>
      <c r="G45" s="1"/>
      <c r="H45" s="1"/>
      <c r="I45" s="1"/>
      <c r="J45" s="1"/>
      <c r="K45" s="1"/>
      <c r="L45" s="1"/>
      <c r="M45" s="1"/>
      <c r="N45" s="1"/>
    </row>
    <row r="46" spans="1:14" ht="17.399999999999999" x14ac:dyDescent="0.3">
      <c r="A46" s="1" t="str">
        <f t="shared" si="4"/>
        <v>5 · Choque curto — alta</v>
      </c>
      <c r="B46" s="20">
        <f t="shared" si="5"/>
        <v>-1.54</v>
      </c>
      <c r="C46" s="20">
        <f t="shared" si="6"/>
        <v>0.97999999999999976</v>
      </c>
      <c r="D46" s="20" cm="1">
        <f t="array" ref="D46">(SUMPRODUCT(($D$6:$D$11=$B$31)*$E$6:$E$11*$H$6:$H$11*$J$6:$J$11)*B36+SUMPRODUCT(($D$6:$D$11=$C$31)*$E$6:$E$11*$H$6:$H$11*$J$6:$J$11)*C36+SUMPRODUCT(($D$6:$D$11=$D$31)*$E$6:$E$11*$H$6:$H$11*$J$6:$J$11)*D36+SUMPRODUCT(($D$6:$D$11=$E$31)*$E$6:$E$11*$H$6:$H$11*$J$6:$J$11)*E36)/10000</f>
        <v>-3</v>
      </c>
      <c r="E46" s="20" cm="1">
        <f t="array" ref="E46">(SUMPRODUCT(($D$6:$D$11=$B$31)*$E$6:$E$11*$H$6:$H$11*$K$6:$K$11)*B36+SUMPRODUCT(($D$6:$D$11=$C$31)*$E$6:$E$11*$H$6:$H$11*$K$6:$K$11)*C36+SUMPRODUCT(($D$6:$D$11=$D$31)*$E$6:$E$11*$H$6:$H$11*$K$6:$K$11)*D36+SUMPRODUCT(($D$6:$D$11=$E$31)*$E$6:$E$11*$H$6:$H$11*$K$6:$K$11)*E36)/10000</f>
        <v>0</v>
      </c>
      <c r="F46" s="69" t="str">
        <f t="shared" si="7"/>
        <v>não</v>
      </c>
      <c r="G46" s="1"/>
      <c r="H46" s="1"/>
      <c r="I46" s="1"/>
      <c r="J46" s="1"/>
      <c r="K46" s="1"/>
      <c r="L46" s="1"/>
      <c r="M46" s="1"/>
      <c r="N46" s="1"/>
    </row>
    <row r="47" spans="1:14" ht="17.399999999999999" x14ac:dyDescent="0.3">
      <c r="A47" s="1" t="str">
        <f t="shared" si="4"/>
        <v>6 · Choque curto — baixa</v>
      </c>
      <c r="B47" s="20">
        <f t="shared" si="5"/>
        <v>1.54</v>
      </c>
      <c r="C47" s="20">
        <f t="shared" si="6"/>
        <v>-0.97999999999999976</v>
      </c>
      <c r="D47" s="20" cm="1">
        <f t="array" ref="D47">(SUMPRODUCT(($D$6:$D$11=$B$31)*$E$6:$E$11*$H$6:$H$11*$J$6:$J$11)*B37+SUMPRODUCT(($D$6:$D$11=$C$31)*$E$6:$E$11*$H$6:$H$11*$J$6:$J$11)*C37+SUMPRODUCT(($D$6:$D$11=$D$31)*$E$6:$E$11*$H$6:$H$11*$J$6:$J$11)*D37+SUMPRODUCT(($D$6:$D$11=$E$31)*$E$6:$E$11*$H$6:$H$11*$J$6:$J$11)*E37)/10000</f>
        <v>3</v>
      </c>
      <c r="E47" s="20" cm="1">
        <f t="array" ref="E47">(SUMPRODUCT(($D$6:$D$11=$B$31)*$E$6:$E$11*$H$6:$H$11*$K$6:$K$11)*B37+SUMPRODUCT(($D$6:$D$11=$C$31)*$E$6:$E$11*$H$6:$H$11*$K$6:$K$11)*C37+SUMPRODUCT(($D$6:$D$11=$D$31)*$E$6:$E$11*$H$6:$H$11*$K$6:$K$11)*D37+SUMPRODUCT(($D$6:$D$11=$E$31)*$E$6:$E$11*$H$6:$H$11*$K$6:$K$11)*E37)/10000</f>
        <v>0</v>
      </c>
      <c r="F47" s="69" t="str">
        <f t="shared" si="7"/>
        <v>não</v>
      </c>
      <c r="G47" s="1"/>
      <c r="H47" s="1"/>
      <c r="I47" s="1"/>
      <c r="J47" s="1"/>
      <c r="K47" s="1"/>
      <c r="L47" s="1"/>
      <c r="M47" s="1"/>
      <c r="N47" s="1"/>
    </row>
    <row r="48" spans="1:14" ht="34.200000000000003" x14ac:dyDescent="0.3">
      <c r="A48" s="59" t="str" cm="1">
        <f t="array" ref="A48">IF($B$49=0,"Leitura automática: com os choques atuais nenhum cenário faz as duas lentes discordarem.","Leitura automática: no "&amp;INDEX($A$42:$A$47,$B$49)&amp;" o valor "&amp;IF(INDEX($B$42:$B$47,$B$49)&lt;0,"perde","ganha")&amp;" R$ "&amp;TEXT(ABS(INDEX($B$42:$B$47,$B$49)),"0,00")&amp;" mi e o resultado "&amp;IF(INDEX($D$42:$D$47,$B$49)&lt;0,"perde","ganha")&amp;" R$ "&amp;TEXT(ABS(INDEX($D$42:$D$47,$B$49)),"0,00")&amp;" mi. Ambas estão certas: o EVE olha o estoque na ponta longa; o NII olha o gap na ponta curta. Gerir só uma métrica é gerir metade.")</f>
        <v>Leitura automática: no 3 · Steepener (curta cai, longa sobe) o valor perde R$ 0,23 mi e o resultado ganha R$ 1,30 mi. Ambas estão certas: o EVE olha o estoque na ponta longa; o NII olha o gap na ponta curta. Gerir só uma métrica é gerir metade.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">
      <c r="A49" s="1" t="s">
        <v>56</v>
      </c>
      <c r="B49" s="21">
        <f>IFERROR(MATCH("⚠*",$F$42:$F$47,0),0)</f>
        <v>3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6" x14ac:dyDescent="0.3">
      <c r="A50" s="3" t="s">
        <v>57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">
      <c r="A51" s="1" t="s">
        <v>58</v>
      </c>
      <c r="B51" s="22">
        <v>0.7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">
      <c r="A52" s="1" t="s">
        <v>59</v>
      </c>
      <c r="B52" s="23">
        <v>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">
      <c r="A53" s="1" t="s">
        <v>60</v>
      </c>
      <c r="B53" s="22">
        <v>0.5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">
      <c r="A54" s="1" t="s">
        <v>61</v>
      </c>
      <c r="B54" s="14">
        <f>SUMIF($A$6:$A$11,"CDB liquidez diária",$E$6:$E$11)</f>
        <v>300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">
      <c r="A55" s="1" t="s">
        <v>62</v>
      </c>
      <c r="B55" s="11">
        <f>B51*B52</f>
        <v>2.0999999999999996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">
      <c r="A56" s="1" t="s">
        <v>63</v>
      </c>
      <c r="B56" s="15">
        <f>B54*1000000*B55*0.0001</f>
        <v>62999.999999999993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7.399999999999999" x14ac:dyDescent="0.3">
      <c r="A57" s="1" t="s">
        <v>64</v>
      </c>
      <c r="B57" s="16">
        <f>$D$21-$B$56</f>
        <v>-37699.999999999993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">
      <c r="A58" s="1" t="s">
        <v>65</v>
      </c>
      <c r="B58" s="7">
        <v>504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7.399999999999999" x14ac:dyDescent="0.3">
      <c r="A59" s="1" t="s">
        <v>66</v>
      </c>
      <c r="B59" s="20">
        <f>B16-B17*B53</f>
        <v>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45.6" x14ac:dyDescent="0.3">
      <c r="A60" s="59" t="str">
        <f>"Leitura automática: no paralelo de alta, o ΔEVE contratual é R$ "&amp;TEXT($B$42,"0,00")&amp;" mi e o comportamental é R$ "&amp;TEXT($C$42,"0,00")&amp;" mi. Mesma carteira, mesmo choque — a hipótese "&amp;IF(SIGN($B$42)&lt;&gt;SIGN($C$42),"TROCOU O SINAL do risco de valor","apenas alterou a magnitude do risco")&amp;". No resultado, o gap de reprecificação vai de R$ "&amp;TEXT($B$18,"0,00")&amp;" mi para R$ "&amp;TEXT($B$59,"0,00")&amp;" mi e o ΔNII do paralelo vai de R$ "&amp;TEXT($D$42,"0,00")&amp;" mi para R$ "&amp;TEXT($E$42,"0,00")&amp;" mi. Durationar depósito é opinar."</f>
        <v>Leitura automática: no paralelo de alta, o ΔEVE contratual é R$ -5,06 mi e o comportamental é R$ 7,54 mi. Mesma carteira, mesmo choque — a hipótese TROCOU O SINAL do risco de valor. No resultado, o gap de reprecificação vai de R$ -200,00 mi para R$ 0,00 mi e o ΔNII do paralelo vai de R$ -4,00 mi para R$ 0,00 mi. Durationar depósito é opinar.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34.200000000000003" x14ac:dyDescent="0.3">
      <c r="A63" s="68" t="s">
        <v>67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">
      <c r="A64" s="5" t="s">
        <v>68</v>
      </c>
      <c r="B64" s="67">
        <v>1</v>
      </c>
      <c r="C64" s="67">
        <v>2</v>
      </c>
      <c r="D64" s="67">
        <v>3</v>
      </c>
      <c r="E64" s="67">
        <v>4</v>
      </c>
      <c r="F64" s="67">
        <v>5</v>
      </c>
      <c r="G64" s="1"/>
      <c r="H64" s="1"/>
      <c r="I64" s="1"/>
      <c r="J64" s="1"/>
      <c r="K64" s="1"/>
      <c r="L64" s="1"/>
      <c r="M64" s="1"/>
      <c r="N64" s="1"/>
    </row>
    <row r="65" spans="1:14" x14ac:dyDescent="0.3">
      <c r="A65" s="24">
        <v>0.5</v>
      </c>
      <c r="B65" s="15">
        <f t="shared" ref="B65:F69" si="8">$D$21-$B$54*1000000*($A65*B$64)*0.0001</f>
        <v>10300</v>
      </c>
      <c r="C65" s="15">
        <f t="shared" si="8"/>
        <v>-4700</v>
      </c>
      <c r="D65" s="15">
        <f t="shared" si="8"/>
        <v>-19700</v>
      </c>
      <c r="E65" s="15">
        <f t="shared" si="8"/>
        <v>-34700</v>
      </c>
      <c r="F65" s="15">
        <f t="shared" si="8"/>
        <v>-49700</v>
      </c>
      <c r="G65" s="1"/>
      <c r="H65" s="1"/>
      <c r="I65" s="1"/>
      <c r="J65" s="1"/>
      <c r="K65" s="1"/>
      <c r="L65" s="1"/>
      <c r="M65" s="1"/>
      <c r="N65" s="1"/>
    </row>
    <row r="66" spans="1:14" x14ac:dyDescent="0.3">
      <c r="A66" s="24">
        <v>0.6</v>
      </c>
      <c r="B66" s="15">
        <f t="shared" si="8"/>
        <v>7300</v>
      </c>
      <c r="C66" s="15">
        <f t="shared" si="8"/>
        <v>-10700</v>
      </c>
      <c r="D66" s="15">
        <f t="shared" si="8"/>
        <v>-28700</v>
      </c>
      <c r="E66" s="15">
        <f t="shared" si="8"/>
        <v>-46700</v>
      </c>
      <c r="F66" s="15">
        <f t="shared" si="8"/>
        <v>-64700</v>
      </c>
      <c r="G66" s="1"/>
      <c r="H66" s="1"/>
      <c r="I66" s="1"/>
      <c r="J66" s="1"/>
      <c r="K66" s="1"/>
      <c r="L66" s="1"/>
      <c r="M66" s="1"/>
      <c r="N66" s="1"/>
    </row>
    <row r="67" spans="1:14" x14ac:dyDescent="0.3">
      <c r="A67" s="24">
        <v>0.7</v>
      </c>
      <c r="B67" s="15">
        <f t="shared" si="8"/>
        <v>4300</v>
      </c>
      <c r="C67" s="15">
        <f t="shared" si="8"/>
        <v>-16700</v>
      </c>
      <c r="D67" s="15">
        <f t="shared" si="8"/>
        <v>-37699.999999999993</v>
      </c>
      <c r="E67" s="15">
        <f t="shared" si="8"/>
        <v>-58700</v>
      </c>
      <c r="F67" s="15">
        <f t="shared" si="8"/>
        <v>-79700</v>
      </c>
      <c r="G67" s="1"/>
      <c r="H67" s="1"/>
      <c r="I67" s="1"/>
      <c r="J67" s="1"/>
      <c r="K67" s="1"/>
      <c r="L67" s="1"/>
      <c r="M67" s="1"/>
      <c r="N67" s="1"/>
    </row>
    <row r="68" spans="1:14" x14ac:dyDescent="0.3">
      <c r="A68" s="24">
        <v>0.8</v>
      </c>
      <c r="B68" s="15">
        <f t="shared" si="8"/>
        <v>1300</v>
      </c>
      <c r="C68" s="15">
        <f t="shared" si="8"/>
        <v>-22700</v>
      </c>
      <c r="D68" s="15">
        <f t="shared" si="8"/>
        <v>-46700.000000000015</v>
      </c>
      <c r="E68" s="15">
        <f t="shared" si="8"/>
        <v>-70700</v>
      </c>
      <c r="F68" s="15">
        <f t="shared" si="8"/>
        <v>-94700</v>
      </c>
      <c r="G68" s="1"/>
      <c r="H68" s="1"/>
      <c r="I68" s="1"/>
      <c r="J68" s="1"/>
      <c r="K68" s="1"/>
      <c r="L68" s="1"/>
      <c r="M68" s="1"/>
      <c r="N68" s="1"/>
    </row>
    <row r="69" spans="1:14" x14ac:dyDescent="0.3">
      <c r="A69" s="24">
        <v>0.9</v>
      </c>
      <c r="B69" s="15">
        <f t="shared" si="8"/>
        <v>-1700</v>
      </c>
      <c r="C69" s="15">
        <f t="shared" si="8"/>
        <v>-28700</v>
      </c>
      <c r="D69" s="15">
        <f t="shared" si="8"/>
        <v>-55700</v>
      </c>
      <c r="E69" s="15">
        <f t="shared" si="8"/>
        <v>-82700</v>
      </c>
      <c r="F69" s="15">
        <f t="shared" si="8"/>
        <v>-109700</v>
      </c>
      <c r="G69" s="1"/>
      <c r="H69" s="1"/>
      <c r="I69" s="1"/>
      <c r="J69" s="1"/>
      <c r="K69" s="1"/>
      <c r="L69" s="1"/>
      <c r="M69" s="1"/>
      <c r="N69" s="1"/>
    </row>
    <row r="70" spans="1:1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6" x14ac:dyDescent="0.3">
      <c r="A71" s="3" t="s">
        <v>69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">
      <c r="A72" s="1" t="s">
        <v>70</v>
      </c>
      <c r="B72" s="25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7.399999999999999" x14ac:dyDescent="0.3">
      <c r="A73" s="1" t="s">
        <v>71</v>
      </c>
      <c r="B73" s="20">
        <f>SUM($M$6:$M$11)</f>
        <v>-5.0599999999999996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7.399999999999999" x14ac:dyDescent="0.3">
      <c r="A74" s="1" t="s">
        <v>72</v>
      </c>
      <c r="B74" s="20">
        <f>SUMIF($I$6:$I$11,"trading",$M$6:$M$11)</f>
        <v>-5.0599999999999996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7.399999999999999" x14ac:dyDescent="0.3">
      <c r="A75" s="1" t="s">
        <v>73</v>
      </c>
      <c r="B75" s="20">
        <f>SUMIF($I$6:$I$11,"banking",$M$6:$M$11)</f>
        <v>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">
      <c r="A76" s="1" t="s">
        <v>74</v>
      </c>
      <c r="B76" s="26">
        <f>IF($B$73=0,0,$B$74/$B$73)</f>
        <v>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45.6" x14ac:dyDescent="0.3">
      <c r="A77" s="59" t="str">
        <f>"Leitura automática: a classificação não mudou o risco econômico — o ΔEVE do cenário "&amp;$B$72&amp;" é R$ "&amp;TEXT($B$73,"0,00")&amp;" mi nos dois casos. Mudou apenas quanto disso o resultado enxerga hoje: "&amp;TEXT($B$76,"0,0%")&amp;" passa pelo resultado agora e o restante fica diferido no accrual. Carregar não é esconder: é absorver o choque pelo tempo em vez do preço — racional se e somente se o passivo der tempo."</f>
        <v>Leitura automática: a classificação não mudou o risco econômico — o ΔEVE do cenário 1 é R$ -5,06 mi nos dois casos. Mudou apenas quanto disso o resultado enxerga hoje: 100,0% passa pelo resultado agora e o restante fica diferido no accrual. Carregar não é esconder: é absorver o choque pelo tempo em vez do preço — racional se e somente se o passivo der tempo.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6" x14ac:dyDescent="0.3">
      <c r="A79" s="3" t="s">
        <v>75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">
      <c r="A80" s="1" t="s">
        <v>76</v>
      </c>
      <c r="B80" s="22">
        <v>0.45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">
      <c r="A81" s="1" t="s">
        <v>77</v>
      </c>
      <c r="B81" s="8">
        <v>40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">
      <c r="A82" s="1" t="s">
        <v>78</v>
      </c>
      <c r="B82" s="18">
        <v>400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">
      <c r="A83" s="1" t="s">
        <v>79</v>
      </c>
      <c r="B83" s="23">
        <v>1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">
      <c r="A84" s="1" t="s">
        <v>80</v>
      </c>
      <c r="B84" s="23">
        <v>1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">
      <c r="A85" s="1" t="s">
        <v>81</v>
      </c>
      <c r="B85" s="22">
        <v>0.3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7.399999999999999" x14ac:dyDescent="0.3">
      <c r="A86" s="1" t="s">
        <v>82</v>
      </c>
      <c r="B86" s="20">
        <f>$B$80*$B$54</f>
        <v>135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45.6" x14ac:dyDescent="0.3">
      <c r="A87" s="59" t="s">
        <v>83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27" x14ac:dyDescent="0.3">
      <c r="A89" s="4" t="s">
        <v>84</v>
      </c>
      <c r="B89" s="5" t="s">
        <v>7</v>
      </c>
      <c r="C89" s="5" t="s">
        <v>85</v>
      </c>
      <c r="D89" s="5" t="s">
        <v>86</v>
      </c>
      <c r="E89" s="5" t="s">
        <v>87</v>
      </c>
      <c r="F89" s="5" t="s">
        <v>88</v>
      </c>
      <c r="G89" s="5" t="s">
        <v>89</v>
      </c>
      <c r="H89" s="5" t="s">
        <v>90</v>
      </c>
      <c r="I89" s="5" t="s">
        <v>91</v>
      </c>
      <c r="J89" s="5" t="s">
        <v>92</v>
      </c>
      <c r="K89" s="5" t="s">
        <v>93</v>
      </c>
      <c r="L89" s="1"/>
      <c r="M89" s="1"/>
      <c r="N89" s="1"/>
    </row>
    <row r="90" spans="1:14" x14ac:dyDescent="0.3">
      <c r="A90" s="1" t="s">
        <v>21</v>
      </c>
      <c r="B90" s="14">
        <f>SUMIF($A$6:$A$11,$A90,$E$6:$E$11)</f>
        <v>100</v>
      </c>
      <c r="C90" s="15">
        <f>IF(INDEX($I$6:$I$11,MATCH($A90,$A$6:$A$11,0))="banking",$B90*1000000*$B$83*$B$84*0.0001,INDEX($F$6:$F$11,MATCH($A90,$A$6:$A$11,0)))</f>
        <v>10000</v>
      </c>
      <c r="D90" s="13">
        <f>-$C90*$B$82/1000000</f>
        <v>-4</v>
      </c>
      <c r="E90" s="13">
        <f>$B$86</f>
        <v>135</v>
      </c>
      <c r="F90" s="13">
        <f>MIN($B90,E90)</f>
        <v>100</v>
      </c>
      <c r="G90" s="24">
        <f>IF($B90=0,0,F90/$B90)</f>
        <v>1</v>
      </c>
      <c r="H90" s="13">
        <f>G90*D90</f>
        <v>-4</v>
      </c>
      <c r="I90" s="13">
        <f>K90</f>
        <v>4</v>
      </c>
      <c r="J90" s="13">
        <f>B90</f>
        <v>100</v>
      </c>
      <c r="K90" s="13">
        <f>ABS(D90)</f>
        <v>4</v>
      </c>
      <c r="L90" s="1"/>
      <c r="M90" s="1"/>
      <c r="N90" s="1"/>
    </row>
    <row r="91" spans="1:14" x14ac:dyDescent="0.3">
      <c r="A91" s="1" t="s">
        <v>16</v>
      </c>
      <c r="B91" s="14">
        <f>SUMIF($A$6:$A$11,$A91,$E$6:$E$11)</f>
        <v>100</v>
      </c>
      <c r="C91" s="15">
        <f>IF(INDEX($I$6:$I$11,MATCH($A91,$A$6:$A$11,0))="banking",$B91*1000000*$B$83*$B$84*0.0001,INDEX($F$6:$F$11,MATCH($A91,$A$6:$A$11,0)))</f>
        <v>8800</v>
      </c>
      <c r="D91" s="13">
        <f>-$C91*$B$82/1000000</f>
        <v>-3.52</v>
      </c>
      <c r="E91" s="13">
        <f>MAX(0,E90-F90)</f>
        <v>35</v>
      </c>
      <c r="F91" s="13">
        <f>MIN($B91,E91)</f>
        <v>35</v>
      </c>
      <c r="G91" s="24">
        <f>IF($B91=0,0,F91/$B91)</f>
        <v>0.35</v>
      </c>
      <c r="H91" s="13">
        <f>G91*D91</f>
        <v>-1.232</v>
      </c>
      <c r="I91" s="13">
        <f>I90+K91</f>
        <v>7.52</v>
      </c>
      <c r="J91" s="13">
        <f>J90+B91</f>
        <v>200</v>
      </c>
      <c r="K91" s="13">
        <f>ABS(D91)</f>
        <v>3.52</v>
      </c>
      <c r="L91" s="1"/>
      <c r="M91" s="1"/>
      <c r="N91" s="1"/>
    </row>
    <row r="92" spans="1:14" x14ac:dyDescent="0.3">
      <c r="A92" s="1" t="s">
        <v>23</v>
      </c>
      <c r="B92" s="14">
        <f>SUMIF($A$6:$A$11,$A92,$E$6:$E$11)</f>
        <v>100</v>
      </c>
      <c r="C92" s="15">
        <f>IF(INDEX($I$6:$I$11,MATCH($A92,$A$6:$A$11,0))="banking",$B92*1000000*$B$83*$B$84*0.0001,INDEX($F$6:$F$11,MATCH($A92,$A$6:$A$11,0)))</f>
        <v>10000</v>
      </c>
      <c r="D92" s="13">
        <f>-$C92*$B$82/1000000</f>
        <v>-4</v>
      </c>
      <c r="E92" s="13">
        <f>MAX(0,E91-F91)</f>
        <v>0</v>
      </c>
      <c r="F92" s="13">
        <f>MIN($B92,E92)</f>
        <v>0</v>
      </c>
      <c r="G92" s="24">
        <f>IF($B92=0,0,F92/$B92)</f>
        <v>0</v>
      </c>
      <c r="H92" s="13">
        <f>G92*D92</f>
        <v>0</v>
      </c>
      <c r="I92" s="13">
        <f>I91+K92</f>
        <v>11.52</v>
      </c>
      <c r="J92" s="13">
        <f>J91+B92</f>
        <v>300</v>
      </c>
      <c r="K92" s="13">
        <f>ABS(D92)</f>
        <v>4</v>
      </c>
      <c r="L92" s="1"/>
      <c r="M92" s="1"/>
      <c r="N92" s="1"/>
    </row>
    <row r="93" spans="1:14" x14ac:dyDescent="0.3">
      <c r="A93" s="1" t="s">
        <v>19</v>
      </c>
      <c r="B93" s="14">
        <f>SUMIF($A$6:$A$11,$A93,$E$6:$E$11)</f>
        <v>100</v>
      </c>
      <c r="C93" s="15">
        <f>IF(INDEX($I$6:$I$11,MATCH($A93,$A$6:$A$11,0))="banking",$B93*1000000*$B$83*$B$84*0.0001,INDEX($F$6:$F$11,MATCH($A93,$A$6:$A$11,0)))</f>
        <v>16500</v>
      </c>
      <c r="D93" s="13">
        <f>-$C93*$B$82/1000000</f>
        <v>-6.6</v>
      </c>
      <c r="E93" s="13">
        <f>MAX(0,E92-F92)</f>
        <v>0</v>
      </c>
      <c r="F93" s="13">
        <f>MIN($B93,E93)</f>
        <v>0</v>
      </c>
      <c r="G93" s="24">
        <f>IF($B93=0,0,F93/$B93)</f>
        <v>0</v>
      </c>
      <c r="H93" s="13">
        <f>G93*D93</f>
        <v>0</v>
      </c>
      <c r="I93" s="13">
        <f>I92+K93</f>
        <v>18.119999999999997</v>
      </c>
      <c r="J93" s="13">
        <f>J92+B93</f>
        <v>400</v>
      </c>
      <c r="K93" s="13">
        <f>ABS(D93)</f>
        <v>6.6</v>
      </c>
      <c r="L93" s="1"/>
      <c r="M93" s="1"/>
      <c r="N93" s="1"/>
    </row>
    <row r="94" spans="1:14" x14ac:dyDescent="0.3">
      <c r="A94" s="1" t="s">
        <v>94</v>
      </c>
      <c r="B94" s="1"/>
      <c r="C94" s="1"/>
      <c r="D94" s="1"/>
      <c r="E94" s="13"/>
      <c r="F94" s="13">
        <f>SUM(F90:F93)</f>
        <v>135</v>
      </c>
      <c r="G94" s="1"/>
      <c r="H94" s="13">
        <f>SUM(H90:H93)</f>
        <v>-5.2320000000000002</v>
      </c>
      <c r="I94" s="1"/>
      <c r="J94" s="1"/>
      <c r="K94" s="1"/>
      <c r="L94" s="1"/>
      <c r="M94" s="1"/>
      <c r="N94" s="1"/>
    </row>
    <row r="95" spans="1:14" ht="17.399999999999999" x14ac:dyDescent="0.3">
      <c r="A95" s="1" t="s">
        <v>95</v>
      </c>
      <c r="B95" s="27">
        <f>-H94/$B$81</f>
        <v>0.1308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">
      <c r="A96" s="1" t="s">
        <v>96</v>
      </c>
      <c r="B96" s="70" t="str">
        <f>IF($B$95&gt;=$B$85,"⚠ ALERTA — perda realizada acima do limite de "&amp;TEXT($B$85,"0,0%")&amp;" do capital","OK — dentro do limite de "&amp;TEXT($B$85,"0,0%")&amp;" do capital")</f>
        <v>OK — dentro do limite de 30,0% do capital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">
      <c r="A97" s="1" t="s">
        <v>97</v>
      </c>
      <c r="B97" s="70" t="str" cm="1">
        <f t="array" ref="B97">IF($B$98&gt;$I$93,"não atinge o limite (nem vendendo toda a carteira)",IF(($B$100+INDEX($B$90:$B$93,$B$99+1)*($B$98-$B$101)/INDEX($K$90:$K$93,$B$99+1))/$B$54&gt;1,"não atinge o limite (exigiria saque &gt; 100% dos depósitos)",TEXT(($B$100+INDEX($B$90:$B$93,$B$99+1)*($B$98-$B$101)/INDEX($K$90:$K$93,$B$99+1))/$B$54,"0,0%")))</f>
        <v>não atinge o limite (exigiria saque &gt; 100% dos depósitos)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">
      <c r="A98" s="1" t="s">
        <v>98</v>
      </c>
      <c r="B98" s="13">
        <f>$B$85*$B$81</f>
        <v>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">
      <c r="A99" s="1" t="s">
        <v>99</v>
      </c>
      <c r="B99" s="21">
        <f>IFERROR(MATCH($B$98,$I$90:$I$93,1),0)</f>
        <v>3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">
      <c r="A100" s="1" t="s">
        <v>100</v>
      </c>
      <c r="B100" s="13" cm="1">
        <f t="array" ref="B100">IF($B$99=0,0,INDEX($J$90:$J$93,$B$99))</f>
        <v>300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">
      <c r="A101" s="1" t="s">
        <v>101</v>
      </c>
      <c r="B101" s="13" cm="1">
        <f t="array" ref="B101">IF($B$99=0,0,INDEX($I$90:$I$93,$B$99))</f>
        <v>11.52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45.6" x14ac:dyDescent="0.3">
      <c r="A103" s="59" t="str">
        <f>"Leitura automática — o mecanismo SVB: com o multiplicador em "&amp;TEXT($B$84,"0,0")&amp;", a saída de R$ "&amp;TEXT($B$86,"0,00")&amp;" mi realiza R$ "&amp;TEXT(ABS($H$94),"0,00")&amp;" mi de perda, ou "&amp;TEXT($B$95,"0,0%")&amp;" do capital. Suba o multiplicador para 4,0 (uma carteira longa como a do SVB) e a mesma saída consome muito mais capital. A quebra não veio da marcação: veio do caixa. Vender o que estava 'protegido' da marcação foi o que realizou a perda."</f>
        <v>Leitura automática — o mecanismo SVB: com o multiplicador em 1,0, a saída de R$ 135,00 mi realiza R$ 5,23 mi de perda, ou 13,1% do capital. Suba o multiplicador para 4,0 (uma carteira longa como a do SVB) e a mesma saída consome muito mais capital. A quebra não veio da marcação: veio do caixa. Vender o que estava 'protegido' da marcação foi o que realizou a perda.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6" x14ac:dyDescent="0.3">
      <c r="A105" s="3" t="s">
        <v>102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">
      <c r="A106" s="1" t="s">
        <v>103</v>
      </c>
      <c r="B106" s="8">
        <v>40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7.399999999999999" x14ac:dyDescent="0.3">
      <c r="A107" s="1" t="s">
        <v>104</v>
      </c>
      <c r="B107" s="27" cm="1">
        <f t="array" ref="B107">INDEX($B$42:$B$47,$B$72)/$B$106</f>
        <v>-0.1265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34.200000000000003" x14ac:dyDescent="0.3">
      <c r="A108" s="59" t="s">
        <v>105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46.8" x14ac:dyDescent="0.3">
      <c r="A110" s="60" t="s">
        <v>106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6" x14ac:dyDescent="0.3">
      <c r="A112" s="3" t="s">
        <v>107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">
      <c r="A113" s="5" t="s">
        <v>42</v>
      </c>
      <c r="B113" s="5" t="s">
        <v>108</v>
      </c>
      <c r="C113" s="5" t="s">
        <v>109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">
      <c r="A114" s="1" t="str">
        <f t="shared" ref="A114:A119" si="9">$A42</f>
        <v>1 · Paralelo alta</v>
      </c>
      <c r="B114" s="13">
        <f t="shared" ref="B114:B119" si="10">$B42</f>
        <v>-5.0599999999999996</v>
      </c>
      <c r="C114" s="13">
        <f t="shared" ref="C114:C119" si="11">$D42</f>
        <v>-4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">
      <c r="A115" s="1" t="str">
        <f t="shared" si="9"/>
        <v>2 · Paralelo baixa</v>
      </c>
      <c r="B115" s="13">
        <f t="shared" si="10"/>
        <v>5.0599999999999996</v>
      </c>
      <c r="C115" s="13">
        <f t="shared" si="11"/>
        <v>4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">
      <c r="A116" s="1" t="str">
        <f t="shared" si="9"/>
        <v>3 · Steepener (curta cai, longa sobe)</v>
      </c>
      <c r="B116" s="13">
        <f t="shared" si="10"/>
        <v>-0.23100000000000001</v>
      </c>
      <c r="C116" s="13">
        <f t="shared" si="11"/>
        <v>1.3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">
      <c r="A117" s="1" t="str">
        <f t="shared" si="9"/>
        <v>4 · Flattener (curta sobe, longa cai)</v>
      </c>
      <c r="B117" s="13">
        <f t="shared" si="10"/>
        <v>0.14299999999999999</v>
      </c>
      <c r="C117" s="13">
        <f t="shared" si="11"/>
        <v>-1.6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">
      <c r="A118" s="1" t="str">
        <f t="shared" si="9"/>
        <v>5 · Choque curto — alta</v>
      </c>
      <c r="B118" s="13">
        <f t="shared" si="10"/>
        <v>-1.54</v>
      </c>
      <c r="C118" s="13">
        <f t="shared" si="11"/>
        <v>-3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">
      <c r="A119" s="1" t="str">
        <f t="shared" si="9"/>
        <v>6 · Choque curto — baixa</v>
      </c>
      <c r="B119" s="13">
        <f t="shared" si="10"/>
        <v>1.54</v>
      </c>
      <c r="C119" s="13">
        <f t="shared" si="11"/>
        <v>3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6" x14ac:dyDescent="0.3">
      <c r="A121" s="3" t="s">
        <v>110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27" x14ac:dyDescent="0.3">
      <c r="A122" s="5" t="s">
        <v>111</v>
      </c>
      <c r="B122" s="5" t="s">
        <v>112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3">
      <c r="A123" s="24">
        <f>$A65</f>
        <v>0.5</v>
      </c>
      <c r="B123" s="15">
        <f>$D65</f>
        <v>-19700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3">
      <c r="A124" s="24">
        <f>$A66</f>
        <v>0.6</v>
      </c>
      <c r="B124" s="15">
        <f>$D66</f>
        <v>-28700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3">
      <c r="A125" s="24">
        <f>$A67</f>
        <v>0.7</v>
      </c>
      <c r="B125" s="15">
        <f>$D67</f>
        <v>-37699.999999999993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3">
      <c r="A126" s="24">
        <f>$A68</f>
        <v>0.8</v>
      </c>
      <c r="B126" s="15">
        <f>$D68</f>
        <v>-46700.000000000015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3">
      <c r="A127" s="24">
        <f>$A69</f>
        <v>0.9</v>
      </c>
      <c r="B127" s="15">
        <f>$D69</f>
        <v>-55700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</sheetData>
  <sheetProtection sheet="1" objects="1" scenarios="1" formatColumns="0" formatRows="0"/>
  <conditionalFormatting sqref="B65:F69">
    <cfRule type="expression" dxfId="0" priority="1">
      <formula>ABS(B65)&lt;=2000</formula>
    </cfRule>
  </conditionalFormatting>
  <dataValidations count="1">
    <dataValidation type="list" allowBlank="1" showInputMessage="1" showErrorMessage="1" sqref="I6:I11" xr:uid="{F82A0647-A52D-4C1D-BFA7-BA842DF4673E}">
      <formula1>"trading,banking"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0071-6658-4C76-8ADB-D5379089182D}">
  <dimension ref="A1:G17"/>
  <sheetViews>
    <sheetView showGridLines="0" tabSelected="1" workbookViewId="0">
      <selection activeCell="C3" sqref="C3"/>
    </sheetView>
  </sheetViews>
  <sheetFormatPr defaultRowHeight="14.4" x14ac:dyDescent="0.3"/>
  <cols>
    <col min="1" max="1" width="27.77734375" customWidth="1"/>
    <col min="2" max="2" width="63" customWidth="1"/>
    <col min="3" max="3" width="20.33203125" customWidth="1"/>
    <col min="4" max="4" width="25.88671875" customWidth="1"/>
    <col min="5" max="5" width="16.6640625" customWidth="1"/>
    <col min="6" max="6" width="70.33203125" customWidth="1"/>
    <col min="7" max="7" width="13" customWidth="1"/>
  </cols>
  <sheetData>
    <row r="1" spans="1:7" ht="21" x14ac:dyDescent="0.3">
      <c r="A1" s="29" t="s">
        <v>152</v>
      </c>
      <c r="B1" s="28"/>
      <c r="C1" s="28"/>
      <c r="D1" s="28"/>
      <c r="E1" s="28"/>
      <c r="F1" s="28"/>
      <c r="G1" s="28"/>
    </row>
    <row r="2" spans="1:7" x14ac:dyDescent="0.3">
      <c r="A2" s="38" t="s">
        <v>153</v>
      </c>
      <c r="B2" s="28"/>
      <c r="C2" s="28"/>
      <c r="D2" s="28"/>
      <c r="E2" s="28"/>
      <c r="F2" s="28"/>
      <c r="G2" s="28"/>
    </row>
    <row r="3" spans="1:7" x14ac:dyDescent="0.3">
      <c r="A3" s="28"/>
      <c r="B3" s="28"/>
      <c r="C3" s="28"/>
      <c r="D3" s="28"/>
      <c r="E3" s="28"/>
      <c r="F3" s="28"/>
      <c r="G3" s="28"/>
    </row>
    <row r="4" spans="1:7" x14ac:dyDescent="0.3">
      <c r="A4" s="31" t="s">
        <v>42</v>
      </c>
      <c r="B4" s="31" t="s">
        <v>154</v>
      </c>
      <c r="C4" s="31" t="s">
        <v>155</v>
      </c>
      <c r="D4" s="31" t="s">
        <v>156</v>
      </c>
      <c r="E4" s="31" t="s">
        <v>157</v>
      </c>
      <c r="F4" s="31" t="s">
        <v>158</v>
      </c>
      <c r="G4" s="31" t="s">
        <v>159</v>
      </c>
    </row>
    <row r="5" spans="1:7" ht="26.4" x14ac:dyDescent="0.3">
      <c r="A5" s="39" t="s">
        <v>160</v>
      </c>
      <c r="B5" s="40" t="s">
        <v>161</v>
      </c>
      <c r="C5" s="41"/>
      <c r="D5" s="42">
        <f>Simulador!$B$42</f>
        <v>-5.0599999999999996</v>
      </c>
      <c r="E5" s="43" t="str">
        <f t="shared" ref="E5:E16" si="0">IF($C5="","—",IF(AND(ISNUMBER($C5),ISNUMBER($D5)),IF(ABS($C5-$D5)&lt;=$G5,"✔ correto","✘ revise"),IF(TRIM(LOWER($C5&amp;""))=TRIM(LOWER($D5&amp;"")),"✔ correto","✘ revise")))</f>
        <v>—</v>
      </c>
      <c r="F5" s="40" t="s">
        <v>162</v>
      </c>
      <c r="G5" s="40">
        <v>0.05</v>
      </c>
    </row>
    <row r="6" spans="1:7" ht="26.4" x14ac:dyDescent="0.3">
      <c r="A6" s="39" t="s">
        <v>160</v>
      </c>
      <c r="B6" s="40" t="s">
        <v>163</v>
      </c>
      <c r="C6" s="41"/>
      <c r="D6" s="42">
        <f>Simulador!$D$42</f>
        <v>-4</v>
      </c>
      <c r="E6" s="43" t="str">
        <f t="shared" si="0"/>
        <v>—</v>
      </c>
      <c r="F6" s="40" t="s">
        <v>164</v>
      </c>
      <c r="G6" s="40">
        <v>0.05</v>
      </c>
    </row>
    <row r="7" spans="1:7" ht="39.6" x14ac:dyDescent="0.3">
      <c r="A7" s="39" t="s">
        <v>165</v>
      </c>
      <c r="B7" s="40" t="s">
        <v>166</v>
      </c>
      <c r="C7" s="44"/>
      <c r="D7" s="45">
        <f>Simulador!$B$49</f>
        <v>3</v>
      </c>
      <c r="E7" s="43" t="str">
        <f t="shared" si="0"/>
        <v>—</v>
      </c>
      <c r="F7" s="40" t="s">
        <v>167</v>
      </c>
      <c r="G7" s="40">
        <v>0</v>
      </c>
    </row>
    <row r="8" spans="1:7" ht="39.6" x14ac:dyDescent="0.3">
      <c r="A8" s="39" t="s">
        <v>165</v>
      </c>
      <c r="B8" s="40" t="s">
        <v>168</v>
      </c>
      <c r="C8" s="46"/>
      <c r="D8" s="47" t="s">
        <v>169</v>
      </c>
      <c r="E8" s="43" t="str">
        <f t="shared" si="0"/>
        <v>—</v>
      </c>
      <c r="F8" s="40" t="s">
        <v>170</v>
      </c>
      <c r="G8" s="40">
        <v>0</v>
      </c>
    </row>
    <row r="9" spans="1:7" ht="26.4" x14ac:dyDescent="0.3">
      <c r="A9" s="39" t="s">
        <v>171</v>
      </c>
      <c r="B9" s="40" t="s">
        <v>172</v>
      </c>
      <c r="C9" s="41"/>
      <c r="D9" s="42">
        <f>-Simulador!$D$22*50/1000000</f>
        <v>-2.5</v>
      </c>
      <c r="E9" s="43" t="str">
        <f t="shared" si="0"/>
        <v>—</v>
      </c>
      <c r="F9" s="40" t="s">
        <v>173</v>
      </c>
      <c r="G9" s="40">
        <v>0.05</v>
      </c>
    </row>
    <row r="10" spans="1:7" ht="26.4" x14ac:dyDescent="0.3">
      <c r="A10" s="39" t="s">
        <v>171</v>
      </c>
      <c r="B10" s="40" t="s">
        <v>174</v>
      </c>
      <c r="C10" s="48"/>
      <c r="D10" s="49">
        <f>INDEX(Simulador!$B$24:$E$24,MATCH(MAX(Simulador!$B$27:$E$27),Simulador!$B$27:$E$27,0))</f>
        <v>1260</v>
      </c>
      <c r="E10" s="43" t="str">
        <f t="shared" si="0"/>
        <v>—</v>
      </c>
      <c r="F10" s="40" t="s">
        <v>175</v>
      </c>
      <c r="G10" s="40">
        <v>0</v>
      </c>
    </row>
    <row r="11" spans="1:7" ht="26.4" x14ac:dyDescent="0.3">
      <c r="A11" s="39" t="s">
        <v>176</v>
      </c>
      <c r="B11" s="40" t="s">
        <v>177</v>
      </c>
      <c r="C11" s="50"/>
      <c r="D11" s="51">
        <f>Simulador!$B$57</f>
        <v>-37699.999999999993</v>
      </c>
      <c r="E11" s="43" t="str">
        <f t="shared" si="0"/>
        <v>—</v>
      </c>
      <c r="F11" s="40" t="s">
        <v>178</v>
      </c>
      <c r="G11" s="40">
        <v>500</v>
      </c>
    </row>
    <row r="12" spans="1:7" ht="26.4" x14ac:dyDescent="0.3">
      <c r="A12" s="39" t="s">
        <v>176</v>
      </c>
      <c r="B12" s="40" t="s">
        <v>179</v>
      </c>
      <c r="C12" s="41"/>
      <c r="D12" s="42">
        <f>Simulador!$C$42</f>
        <v>7.5399999999999983</v>
      </c>
      <c r="E12" s="43" t="str">
        <f t="shared" si="0"/>
        <v>—</v>
      </c>
      <c r="F12" s="40" t="s">
        <v>180</v>
      </c>
      <c r="G12" s="40">
        <v>0.05</v>
      </c>
    </row>
    <row r="13" spans="1:7" ht="26.4" x14ac:dyDescent="0.3">
      <c r="A13" s="39" t="s">
        <v>176</v>
      </c>
      <c r="B13" s="40" t="s">
        <v>181</v>
      </c>
      <c r="C13" s="46"/>
      <c r="D13" s="47" t="s">
        <v>182</v>
      </c>
      <c r="E13" s="43" t="str">
        <f t="shared" si="0"/>
        <v>—</v>
      </c>
      <c r="F13" s="40" t="s">
        <v>183</v>
      </c>
      <c r="G13" s="40">
        <v>0</v>
      </c>
    </row>
    <row r="14" spans="1:7" ht="26.4" x14ac:dyDescent="0.3">
      <c r="A14" s="39" t="s">
        <v>184</v>
      </c>
      <c r="B14" s="40" t="s">
        <v>185</v>
      </c>
      <c r="C14" s="41"/>
      <c r="D14" s="42">
        <v>0</v>
      </c>
      <c r="E14" s="43" t="str">
        <f t="shared" si="0"/>
        <v>—</v>
      </c>
      <c r="F14" s="40" t="s">
        <v>186</v>
      </c>
      <c r="G14" s="40">
        <v>0.05</v>
      </c>
    </row>
    <row r="15" spans="1:7" ht="26.4" x14ac:dyDescent="0.3">
      <c r="A15" s="39" t="s">
        <v>184</v>
      </c>
      <c r="B15" s="40" t="s">
        <v>187</v>
      </c>
      <c r="C15" s="52"/>
      <c r="D15" s="53">
        <v>0</v>
      </c>
      <c r="E15" s="43" t="str">
        <f t="shared" si="0"/>
        <v>—</v>
      </c>
      <c r="F15" s="40" t="s">
        <v>188</v>
      </c>
      <c r="G15" s="40">
        <v>5.0000000000000001E-3</v>
      </c>
    </row>
    <row r="16" spans="1:7" ht="39.6" x14ac:dyDescent="0.3">
      <c r="A16" s="39" t="s">
        <v>189</v>
      </c>
      <c r="B16" s="40" t="s">
        <v>190</v>
      </c>
      <c r="C16" s="52"/>
      <c r="D16" s="53">
        <f>IF(Simulador!$B$85*Simulador!$B$81&lt;=Simulador!$B$90*1000000*Simulador!$B$83*4*0.0001*400/1000000,Simulador!$B$90*((Simulador!$B$85*Simulador!$B$81)/(Simulador!$B$90*1000000*Simulador!$B$83*4*0.0001*400/1000000))/Simulador!$B$54,"ver bloco 6")</f>
        <v>0.25</v>
      </c>
      <c r="E16" s="43" t="str">
        <f t="shared" si="0"/>
        <v>—</v>
      </c>
      <c r="F16" s="40" t="s">
        <v>191</v>
      </c>
      <c r="G16" s="40">
        <v>5.0000000000000001E-3</v>
      </c>
    </row>
    <row r="17" spans="1:7" ht="118.8" x14ac:dyDescent="0.3">
      <c r="A17" s="54" t="s">
        <v>192</v>
      </c>
      <c r="B17" s="55" t="s">
        <v>193</v>
      </c>
      <c r="C17" s="46"/>
      <c r="D17" s="56" t="s">
        <v>194</v>
      </c>
      <c r="E17" s="57" t="str">
        <f>IF($C17="","—","avaliação qualitativa — compare com a resposta-modelo")</f>
        <v>—</v>
      </c>
      <c r="F17" s="55" t="s">
        <v>195</v>
      </c>
      <c r="G17" s="55"/>
    </row>
  </sheetData>
  <sheetProtection sheet="1" objects="1" scenarios="1"/>
  <dataValidations count="2">
    <dataValidation type="list" allowBlank="1" showInputMessage="1" showErrorMessage="1" sqref="C8" xr:uid="{0C8A113C-4CE0-4794-B026-0F8504F1D5A2}">
      <formula1>"o EVE olha o estoque na ponta longa e o NII olha o gap na ponta curta,o NII é mais conservador porque olha 12 meses,o EVE está errado porque desconta fluxos que não vão acontecer"</formula1>
    </dataValidation>
    <dataValidation type="list" allowBlank="1" showInputMessage="1" showErrorMessage="1" sqref="C13" xr:uid="{C8CC44F7-709C-417D-BE38-187885F1A8DB}">
      <formula1>"nada — mudou a premissa do modelo de depósitos,o prazo contratual dos depósitos foi alongado,a carteira de ativos ficou mais longa"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ACB0-98D2-4C00-B2B1-89BC9FBE2069}">
  <dimension ref="A1:A154"/>
  <sheetViews>
    <sheetView showGridLines="0" workbookViewId="0"/>
  </sheetViews>
  <sheetFormatPr defaultRowHeight="14.4" x14ac:dyDescent="0.3"/>
  <cols>
    <col min="1" max="1" width="140.77734375" customWidth="1"/>
  </cols>
  <sheetData>
    <row r="1" spans="1:1" ht="21" x14ac:dyDescent="0.3">
      <c r="A1" s="29" t="s">
        <v>196</v>
      </c>
    </row>
    <row r="2" spans="1:1" x14ac:dyDescent="0.3">
      <c r="A2" s="59" t="s">
        <v>197</v>
      </c>
    </row>
    <row r="3" spans="1:1" x14ac:dyDescent="0.3">
      <c r="A3" s="58"/>
    </row>
    <row r="4" spans="1:1" x14ac:dyDescent="0.3">
      <c r="A4" s="58" t="s">
        <v>198</v>
      </c>
    </row>
    <row r="5" spans="1:1" x14ac:dyDescent="0.3">
      <c r="A5" s="58" t="s">
        <v>199</v>
      </c>
    </row>
    <row r="6" spans="1:1" x14ac:dyDescent="0.3">
      <c r="A6" s="58" t="s">
        <v>200</v>
      </c>
    </row>
    <row r="7" spans="1:1" ht="22.8" x14ac:dyDescent="0.3">
      <c r="A7" s="58" t="s">
        <v>201</v>
      </c>
    </row>
    <row r="8" spans="1:1" x14ac:dyDescent="0.3">
      <c r="A8" s="58" t="s">
        <v>202</v>
      </c>
    </row>
    <row r="9" spans="1:1" ht="22.8" x14ac:dyDescent="0.3">
      <c r="A9" s="58" t="s">
        <v>203</v>
      </c>
    </row>
    <row r="10" spans="1:1" ht="22.8" x14ac:dyDescent="0.3">
      <c r="A10" s="58" t="s">
        <v>204</v>
      </c>
    </row>
    <row r="11" spans="1:1" x14ac:dyDescent="0.3">
      <c r="A11" s="58" t="s">
        <v>205</v>
      </c>
    </row>
    <row r="12" spans="1:1" ht="22.8" x14ac:dyDescent="0.3">
      <c r="A12" s="58" t="s">
        <v>206</v>
      </c>
    </row>
    <row r="13" spans="1:1" x14ac:dyDescent="0.3">
      <c r="A13" s="58" t="s">
        <v>207</v>
      </c>
    </row>
    <row r="14" spans="1:1" x14ac:dyDescent="0.3">
      <c r="A14" s="58" t="s">
        <v>208</v>
      </c>
    </row>
    <row r="15" spans="1:1" x14ac:dyDescent="0.3">
      <c r="A15" s="58" t="s">
        <v>209</v>
      </c>
    </row>
    <row r="16" spans="1:1" x14ac:dyDescent="0.3">
      <c r="A16" s="58" t="s">
        <v>210</v>
      </c>
    </row>
    <row r="17" spans="1:1" x14ac:dyDescent="0.3">
      <c r="A17" s="58" t="s">
        <v>211</v>
      </c>
    </row>
    <row r="18" spans="1:1" x14ac:dyDescent="0.3">
      <c r="A18" s="58" t="s">
        <v>212</v>
      </c>
    </row>
    <row r="19" spans="1:1" ht="34.200000000000003" x14ac:dyDescent="0.3">
      <c r="A19" s="58" t="s">
        <v>213</v>
      </c>
    </row>
    <row r="20" spans="1:1" x14ac:dyDescent="0.3">
      <c r="A20" s="58" t="s">
        <v>214</v>
      </c>
    </row>
    <row r="21" spans="1:1" x14ac:dyDescent="0.3">
      <c r="A21" s="58" t="s">
        <v>215</v>
      </c>
    </row>
    <row r="22" spans="1:1" x14ac:dyDescent="0.3">
      <c r="A22" s="58" t="s">
        <v>216</v>
      </c>
    </row>
    <row r="23" spans="1:1" x14ac:dyDescent="0.3">
      <c r="A23" s="58" t="s">
        <v>217</v>
      </c>
    </row>
    <row r="24" spans="1:1" x14ac:dyDescent="0.3">
      <c r="A24" s="58" t="s">
        <v>218</v>
      </c>
    </row>
    <row r="25" spans="1:1" x14ac:dyDescent="0.3">
      <c r="A25" s="58" t="s">
        <v>219</v>
      </c>
    </row>
    <row r="26" spans="1:1" x14ac:dyDescent="0.3">
      <c r="A26" s="58" t="s">
        <v>220</v>
      </c>
    </row>
    <row r="27" spans="1:1" x14ac:dyDescent="0.3">
      <c r="A27" s="58" t="s">
        <v>221</v>
      </c>
    </row>
    <row r="28" spans="1:1" x14ac:dyDescent="0.3">
      <c r="A28" s="58" t="s">
        <v>222</v>
      </c>
    </row>
    <row r="29" spans="1:1" x14ac:dyDescent="0.3">
      <c r="A29" s="58" t="s">
        <v>223</v>
      </c>
    </row>
    <row r="30" spans="1:1" x14ac:dyDescent="0.3">
      <c r="A30" s="58" t="s">
        <v>224</v>
      </c>
    </row>
    <row r="31" spans="1:1" x14ac:dyDescent="0.3">
      <c r="A31" s="58" t="s">
        <v>225</v>
      </c>
    </row>
    <row r="32" spans="1:1" ht="22.8" x14ac:dyDescent="0.3">
      <c r="A32" s="58" t="s">
        <v>226</v>
      </c>
    </row>
    <row r="33" spans="1:1" ht="22.8" x14ac:dyDescent="0.3">
      <c r="A33" s="58" t="s">
        <v>227</v>
      </c>
    </row>
    <row r="34" spans="1:1" ht="22.8" x14ac:dyDescent="0.3">
      <c r="A34" s="58" t="s">
        <v>228</v>
      </c>
    </row>
    <row r="35" spans="1:1" ht="22.8" x14ac:dyDescent="0.3">
      <c r="A35" s="58" t="s">
        <v>229</v>
      </c>
    </row>
    <row r="36" spans="1:1" ht="22.8" x14ac:dyDescent="0.3">
      <c r="A36" s="58" t="s">
        <v>230</v>
      </c>
    </row>
    <row r="37" spans="1:1" ht="22.8" x14ac:dyDescent="0.3">
      <c r="A37" s="58" t="s">
        <v>231</v>
      </c>
    </row>
    <row r="38" spans="1:1" ht="22.8" x14ac:dyDescent="0.3">
      <c r="A38" s="58" t="s">
        <v>232</v>
      </c>
    </row>
    <row r="39" spans="1:1" x14ac:dyDescent="0.3">
      <c r="A39" s="58" t="s">
        <v>233</v>
      </c>
    </row>
    <row r="40" spans="1:1" x14ac:dyDescent="0.3">
      <c r="A40" s="58" t="s">
        <v>234</v>
      </c>
    </row>
    <row r="41" spans="1:1" ht="22.8" x14ac:dyDescent="0.3">
      <c r="A41" s="58" t="s">
        <v>235</v>
      </c>
    </row>
    <row r="42" spans="1:1" ht="34.200000000000003" x14ac:dyDescent="0.3">
      <c r="A42" s="58" t="s">
        <v>236</v>
      </c>
    </row>
    <row r="43" spans="1:1" x14ac:dyDescent="0.3">
      <c r="A43" s="58" t="s">
        <v>237</v>
      </c>
    </row>
    <row r="44" spans="1:1" x14ac:dyDescent="0.3">
      <c r="A44" s="58" t="s">
        <v>238</v>
      </c>
    </row>
    <row r="45" spans="1:1" x14ac:dyDescent="0.3">
      <c r="A45" s="58" t="s">
        <v>239</v>
      </c>
    </row>
    <row r="46" spans="1:1" x14ac:dyDescent="0.3">
      <c r="A46" s="58" t="s">
        <v>240</v>
      </c>
    </row>
    <row r="47" spans="1:1" x14ac:dyDescent="0.3">
      <c r="A47" s="58" t="s">
        <v>241</v>
      </c>
    </row>
    <row r="48" spans="1:1" x14ac:dyDescent="0.3">
      <c r="A48" s="58" t="s">
        <v>242</v>
      </c>
    </row>
    <row r="49" spans="1:1" x14ac:dyDescent="0.3">
      <c r="A49" s="58" t="s">
        <v>243</v>
      </c>
    </row>
    <row r="50" spans="1:1" x14ac:dyDescent="0.3">
      <c r="A50" s="58" t="s">
        <v>244</v>
      </c>
    </row>
    <row r="51" spans="1:1" ht="22.8" x14ac:dyDescent="0.3">
      <c r="A51" s="58" t="s">
        <v>245</v>
      </c>
    </row>
    <row r="52" spans="1:1" x14ac:dyDescent="0.3">
      <c r="A52" s="58" t="s">
        <v>246</v>
      </c>
    </row>
    <row r="53" spans="1:1" x14ac:dyDescent="0.3">
      <c r="A53" s="58" t="s">
        <v>247</v>
      </c>
    </row>
    <row r="54" spans="1:1" x14ac:dyDescent="0.3">
      <c r="A54" s="58" t="s">
        <v>248</v>
      </c>
    </row>
    <row r="55" spans="1:1" x14ac:dyDescent="0.3">
      <c r="A55" s="58" t="s">
        <v>249</v>
      </c>
    </row>
    <row r="56" spans="1:1" x14ac:dyDescent="0.3">
      <c r="A56" s="58" t="s">
        <v>250</v>
      </c>
    </row>
    <row r="57" spans="1:1" ht="22.8" x14ac:dyDescent="0.3">
      <c r="A57" s="58" t="s">
        <v>251</v>
      </c>
    </row>
    <row r="58" spans="1:1" x14ac:dyDescent="0.3">
      <c r="A58" s="58" t="s">
        <v>252</v>
      </c>
    </row>
    <row r="59" spans="1:1" x14ac:dyDescent="0.3">
      <c r="A59" s="58" t="s">
        <v>253</v>
      </c>
    </row>
    <row r="60" spans="1:1" x14ac:dyDescent="0.3">
      <c r="A60" s="58" t="s">
        <v>254</v>
      </c>
    </row>
    <row r="61" spans="1:1" x14ac:dyDescent="0.3">
      <c r="A61" s="58" t="s">
        <v>255</v>
      </c>
    </row>
    <row r="62" spans="1:1" x14ac:dyDescent="0.3">
      <c r="A62" s="58" t="s">
        <v>256</v>
      </c>
    </row>
    <row r="63" spans="1:1" x14ac:dyDescent="0.3">
      <c r="A63" s="58" t="s">
        <v>257</v>
      </c>
    </row>
    <row r="64" spans="1:1" x14ac:dyDescent="0.3">
      <c r="A64" s="58" t="s">
        <v>258</v>
      </c>
    </row>
    <row r="65" spans="1:1" x14ac:dyDescent="0.3">
      <c r="A65" s="58" t="s">
        <v>259</v>
      </c>
    </row>
    <row r="66" spans="1:1" x14ac:dyDescent="0.3">
      <c r="A66" s="58" t="s">
        <v>260</v>
      </c>
    </row>
    <row r="67" spans="1:1" x14ac:dyDescent="0.3">
      <c r="A67" s="58" t="s">
        <v>261</v>
      </c>
    </row>
    <row r="68" spans="1:1" x14ac:dyDescent="0.3">
      <c r="A68" s="58" t="s">
        <v>262</v>
      </c>
    </row>
    <row r="69" spans="1:1" x14ac:dyDescent="0.3">
      <c r="A69" s="58" t="s">
        <v>263</v>
      </c>
    </row>
    <row r="70" spans="1:1" x14ac:dyDescent="0.3">
      <c r="A70" s="58" t="s">
        <v>264</v>
      </c>
    </row>
    <row r="71" spans="1:1" x14ac:dyDescent="0.3">
      <c r="A71" s="58" t="s">
        <v>265</v>
      </c>
    </row>
    <row r="72" spans="1:1" x14ac:dyDescent="0.3">
      <c r="A72" s="58" t="s">
        <v>266</v>
      </c>
    </row>
    <row r="73" spans="1:1" x14ac:dyDescent="0.3">
      <c r="A73" s="58" t="s">
        <v>267</v>
      </c>
    </row>
    <row r="74" spans="1:1" x14ac:dyDescent="0.3">
      <c r="A74" s="58" t="s">
        <v>268</v>
      </c>
    </row>
    <row r="75" spans="1:1" ht="22.8" x14ac:dyDescent="0.3">
      <c r="A75" s="58" t="s">
        <v>269</v>
      </c>
    </row>
    <row r="76" spans="1:1" ht="22.8" x14ac:dyDescent="0.3">
      <c r="A76" s="58" t="s">
        <v>270</v>
      </c>
    </row>
    <row r="77" spans="1:1" x14ac:dyDescent="0.3">
      <c r="A77" s="58" t="s">
        <v>271</v>
      </c>
    </row>
    <row r="78" spans="1:1" x14ac:dyDescent="0.3">
      <c r="A78" s="58" t="s">
        <v>272</v>
      </c>
    </row>
    <row r="79" spans="1:1" x14ac:dyDescent="0.3">
      <c r="A79" s="58" t="s">
        <v>273</v>
      </c>
    </row>
    <row r="80" spans="1:1" x14ac:dyDescent="0.3">
      <c r="A80" s="58" t="s">
        <v>274</v>
      </c>
    </row>
    <row r="81" spans="1:1" x14ac:dyDescent="0.3">
      <c r="A81" s="58" t="s">
        <v>275</v>
      </c>
    </row>
    <row r="82" spans="1:1" x14ac:dyDescent="0.3">
      <c r="A82" s="58" t="s">
        <v>276</v>
      </c>
    </row>
    <row r="83" spans="1:1" x14ac:dyDescent="0.3">
      <c r="A83" s="58" t="s">
        <v>277</v>
      </c>
    </row>
    <row r="84" spans="1:1" x14ac:dyDescent="0.3">
      <c r="A84" s="58" t="s">
        <v>278</v>
      </c>
    </row>
    <row r="85" spans="1:1" x14ac:dyDescent="0.3">
      <c r="A85" s="58" t="s">
        <v>279</v>
      </c>
    </row>
    <row r="86" spans="1:1" x14ac:dyDescent="0.3">
      <c r="A86" s="58"/>
    </row>
    <row r="87" spans="1:1" x14ac:dyDescent="0.3">
      <c r="A87" s="58" t="s">
        <v>280</v>
      </c>
    </row>
    <row r="88" spans="1:1" x14ac:dyDescent="0.3">
      <c r="A88" s="58" t="s">
        <v>281</v>
      </c>
    </row>
    <row r="89" spans="1:1" x14ac:dyDescent="0.3">
      <c r="A89" s="58" t="s">
        <v>282</v>
      </c>
    </row>
    <row r="90" spans="1:1" x14ac:dyDescent="0.3">
      <c r="A90" s="58" t="s">
        <v>218</v>
      </c>
    </row>
    <row r="91" spans="1:1" x14ac:dyDescent="0.3">
      <c r="A91" s="58" t="s">
        <v>283</v>
      </c>
    </row>
    <row r="92" spans="1:1" x14ac:dyDescent="0.3">
      <c r="A92" s="58" t="s">
        <v>284</v>
      </c>
    </row>
    <row r="93" spans="1:1" x14ac:dyDescent="0.3">
      <c r="A93" s="58" t="s">
        <v>285</v>
      </c>
    </row>
    <row r="94" spans="1:1" x14ac:dyDescent="0.3">
      <c r="A94" s="58" t="s">
        <v>286</v>
      </c>
    </row>
    <row r="95" spans="1:1" x14ac:dyDescent="0.3">
      <c r="A95" s="58" t="s">
        <v>287</v>
      </c>
    </row>
    <row r="96" spans="1:1" x14ac:dyDescent="0.3">
      <c r="A96" s="58" t="s">
        <v>288</v>
      </c>
    </row>
    <row r="97" spans="1:1" x14ac:dyDescent="0.3">
      <c r="A97" s="58" t="s">
        <v>289</v>
      </c>
    </row>
    <row r="98" spans="1:1" ht="22.8" x14ac:dyDescent="0.3">
      <c r="A98" s="58" t="s">
        <v>290</v>
      </c>
    </row>
    <row r="99" spans="1:1" x14ac:dyDescent="0.3">
      <c r="A99" s="58" t="s">
        <v>291</v>
      </c>
    </row>
    <row r="100" spans="1:1" ht="22.8" x14ac:dyDescent="0.3">
      <c r="A100" s="58" t="s">
        <v>292</v>
      </c>
    </row>
    <row r="101" spans="1:1" ht="22.8" x14ac:dyDescent="0.3">
      <c r="A101" s="58" t="s">
        <v>293</v>
      </c>
    </row>
    <row r="102" spans="1:1" x14ac:dyDescent="0.3">
      <c r="A102" s="58" t="s">
        <v>294</v>
      </c>
    </row>
    <row r="103" spans="1:1" x14ac:dyDescent="0.3">
      <c r="A103" s="58" t="s">
        <v>295</v>
      </c>
    </row>
    <row r="104" spans="1:1" x14ac:dyDescent="0.3">
      <c r="A104" s="58" t="s">
        <v>296</v>
      </c>
    </row>
    <row r="105" spans="1:1" x14ac:dyDescent="0.3">
      <c r="A105" s="58" t="s">
        <v>297</v>
      </c>
    </row>
    <row r="106" spans="1:1" x14ac:dyDescent="0.3">
      <c r="A106" s="58" t="s">
        <v>298</v>
      </c>
    </row>
    <row r="107" spans="1:1" x14ac:dyDescent="0.3">
      <c r="A107" s="58" t="s">
        <v>299</v>
      </c>
    </row>
    <row r="108" spans="1:1" x14ac:dyDescent="0.3">
      <c r="A108" s="58" t="s">
        <v>300</v>
      </c>
    </row>
    <row r="109" spans="1:1" ht="22.8" x14ac:dyDescent="0.3">
      <c r="A109" s="58" t="s">
        <v>301</v>
      </c>
    </row>
    <row r="110" spans="1:1" x14ac:dyDescent="0.3">
      <c r="A110" s="58" t="s">
        <v>302</v>
      </c>
    </row>
    <row r="111" spans="1:1" x14ac:dyDescent="0.3">
      <c r="A111" s="58" t="s">
        <v>303</v>
      </c>
    </row>
    <row r="112" spans="1:1" x14ac:dyDescent="0.3">
      <c r="A112" s="58" t="s">
        <v>304</v>
      </c>
    </row>
    <row r="113" spans="1:1" x14ac:dyDescent="0.3">
      <c r="A113" s="58" t="s">
        <v>305</v>
      </c>
    </row>
    <row r="114" spans="1:1" x14ac:dyDescent="0.3">
      <c r="A114" s="58" t="s">
        <v>306</v>
      </c>
    </row>
    <row r="115" spans="1:1" x14ac:dyDescent="0.3">
      <c r="A115" s="58" t="s">
        <v>307</v>
      </c>
    </row>
    <row r="116" spans="1:1" x14ac:dyDescent="0.3">
      <c r="A116" s="58" t="s">
        <v>308</v>
      </c>
    </row>
    <row r="117" spans="1:1" x14ac:dyDescent="0.3">
      <c r="A117" s="58" t="s">
        <v>309</v>
      </c>
    </row>
    <row r="118" spans="1:1" x14ac:dyDescent="0.3">
      <c r="A118" s="58" t="s">
        <v>310</v>
      </c>
    </row>
    <row r="119" spans="1:1" ht="22.8" x14ac:dyDescent="0.3">
      <c r="A119" s="58" t="s">
        <v>311</v>
      </c>
    </row>
    <row r="120" spans="1:1" x14ac:dyDescent="0.3">
      <c r="A120" s="58" t="s">
        <v>312</v>
      </c>
    </row>
    <row r="121" spans="1:1" x14ac:dyDescent="0.3">
      <c r="A121" s="58" t="s">
        <v>313</v>
      </c>
    </row>
    <row r="122" spans="1:1" x14ac:dyDescent="0.3">
      <c r="A122" s="58" t="s">
        <v>314</v>
      </c>
    </row>
    <row r="123" spans="1:1" x14ac:dyDescent="0.3">
      <c r="A123" s="58" t="s">
        <v>315</v>
      </c>
    </row>
    <row r="124" spans="1:1" x14ac:dyDescent="0.3">
      <c r="A124" s="58" t="s">
        <v>316</v>
      </c>
    </row>
    <row r="125" spans="1:1" x14ac:dyDescent="0.3">
      <c r="A125" s="58" t="s">
        <v>317</v>
      </c>
    </row>
    <row r="126" spans="1:1" x14ac:dyDescent="0.3">
      <c r="A126" s="58" t="s">
        <v>318</v>
      </c>
    </row>
    <row r="127" spans="1:1" ht="22.8" x14ac:dyDescent="0.3">
      <c r="A127" s="58" t="s">
        <v>319</v>
      </c>
    </row>
    <row r="128" spans="1:1" ht="34.200000000000003" x14ac:dyDescent="0.3">
      <c r="A128" s="58" t="s">
        <v>320</v>
      </c>
    </row>
    <row r="129" spans="1:1" x14ac:dyDescent="0.3">
      <c r="A129" s="58" t="s">
        <v>321</v>
      </c>
    </row>
    <row r="130" spans="1:1" ht="22.8" x14ac:dyDescent="0.3">
      <c r="A130" s="58" t="s">
        <v>322</v>
      </c>
    </row>
    <row r="131" spans="1:1" x14ac:dyDescent="0.3">
      <c r="A131" s="58" t="s">
        <v>323</v>
      </c>
    </row>
    <row r="132" spans="1:1" x14ac:dyDescent="0.3">
      <c r="A132" s="58" t="s">
        <v>324</v>
      </c>
    </row>
    <row r="133" spans="1:1" ht="22.8" x14ac:dyDescent="0.3">
      <c r="A133" s="58" t="s">
        <v>325</v>
      </c>
    </row>
    <row r="134" spans="1:1" x14ac:dyDescent="0.3">
      <c r="A134" s="58" t="s">
        <v>326</v>
      </c>
    </row>
    <row r="135" spans="1:1" ht="22.8" x14ac:dyDescent="0.3">
      <c r="A135" s="58" t="s">
        <v>327</v>
      </c>
    </row>
    <row r="136" spans="1:1" ht="22.8" x14ac:dyDescent="0.3">
      <c r="A136" s="58" t="s">
        <v>328</v>
      </c>
    </row>
    <row r="137" spans="1:1" ht="22.8" x14ac:dyDescent="0.3">
      <c r="A137" s="58" t="s">
        <v>329</v>
      </c>
    </row>
    <row r="138" spans="1:1" ht="22.8" x14ac:dyDescent="0.3">
      <c r="A138" s="58" t="s">
        <v>330</v>
      </c>
    </row>
    <row r="139" spans="1:1" ht="22.8" x14ac:dyDescent="0.3">
      <c r="A139" s="58" t="s">
        <v>331</v>
      </c>
    </row>
    <row r="140" spans="1:1" ht="34.200000000000003" x14ac:dyDescent="0.3">
      <c r="A140" s="58" t="s">
        <v>332</v>
      </c>
    </row>
    <row r="141" spans="1:1" x14ac:dyDescent="0.3">
      <c r="A141" s="58" t="s">
        <v>333</v>
      </c>
    </row>
    <row r="142" spans="1:1" x14ac:dyDescent="0.3">
      <c r="A142" s="58" t="s">
        <v>334</v>
      </c>
    </row>
    <row r="143" spans="1:1" x14ac:dyDescent="0.3">
      <c r="A143" s="58" t="s">
        <v>335</v>
      </c>
    </row>
    <row r="144" spans="1:1" x14ac:dyDescent="0.3">
      <c r="A144" s="58" t="s">
        <v>336</v>
      </c>
    </row>
    <row r="145" spans="1:1" x14ac:dyDescent="0.3">
      <c r="A145" s="58" t="s">
        <v>337</v>
      </c>
    </row>
    <row r="146" spans="1:1" ht="22.8" x14ac:dyDescent="0.3">
      <c r="A146" s="58" t="s">
        <v>338</v>
      </c>
    </row>
    <row r="147" spans="1:1" x14ac:dyDescent="0.3">
      <c r="A147" s="58" t="s">
        <v>339</v>
      </c>
    </row>
    <row r="148" spans="1:1" x14ac:dyDescent="0.3">
      <c r="A148" s="58" t="s">
        <v>340</v>
      </c>
    </row>
    <row r="149" spans="1:1" ht="22.8" x14ac:dyDescent="0.3">
      <c r="A149" s="58" t="s">
        <v>341</v>
      </c>
    </row>
    <row r="150" spans="1:1" x14ac:dyDescent="0.3">
      <c r="A150" s="58" t="s">
        <v>342</v>
      </c>
    </row>
    <row r="151" spans="1:1" x14ac:dyDescent="0.3">
      <c r="A151" s="58" t="s">
        <v>343</v>
      </c>
    </row>
    <row r="152" spans="1:1" x14ac:dyDescent="0.3">
      <c r="A152" s="58" t="s">
        <v>344</v>
      </c>
    </row>
    <row r="153" spans="1:1" x14ac:dyDescent="0.3">
      <c r="A153" s="58"/>
    </row>
    <row r="154" spans="1:1" ht="34.200000000000003" x14ac:dyDescent="0.3">
      <c r="A154" s="58" t="s">
        <v>345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2026-08-19T18:52:32Z</dcterms:created>
  <dcterms:modified xsi:type="dcterms:W3CDTF">2026-08-20T14:44:37Z</dcterms:modified>
</cp:coreProperties>
</file>