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9623AE93-AC26-4B93-A7F0-B3243B389E08}" xr6:coauthVersionLast="47" xr6:coauthVersionMax="47" xr10:uidLastSave="{00000000-0000-0000-0000-000000000000}"/>
  <bookViews>
    <workbookView xWindow="-108" yWindow="-108" windowWidth="23256" windowHeight="12456" activeTab="1" xr2:uid="{8F3B22ED-A2E4-47C0-9FC3-146911571B20}"/>
  </bookViews>
  <sheets>
    <sheet name="Instruções" sheetId="2" r:id="rId1"/>
    <sheet name="Simulador" sheetId="3" r:id="rId2"/>
    <sheet name="Cenários" sheetId="4" r:id="rId3"/>
    <sheet name="Promp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5" i="3" l="1"/>
  <c r="D34" i="3"/>
  <c r="D33" i="3"/>
  <c r="E11" i="4"/>
  <c r="E10" i="4"/>
  <c r="E9" i="4"/>
  <c r="E8" i="4"/>
  <c r="E7" i="4"/>
  <c r="E6" i="4"/>
  <c r="E5" i="4"/>
  <c r="D9" i="4"/>
  <c r="D8" i="4"/>
  <c r="D7" i="4"/>
  <c r="D6" i="4"/>
  <c r="D5" i="4"/>
  <c r="E51" i="3"/>
  <c r="D51" i="3"/>
  <c r="C51" i="3"/>
  <c r="B51" i="3"/>
  <c r="A51" i="3"/>
  <c r="E50" i="3"/>
  <c r="D50" i="3"/>
  <c r="C50" i="3"/>
  <c r="B50" i="3"/>
  <c r="A50" i="3"/>
  <c r="E49" i="3"/>
  <c r="D49" i="3"/>
  <c r="C49" i="3"/>
  <c r="B49" i="3"/>
  <c r="A49" i="3"/>
  <c r="E48" i="3"/>
  <c r="D48" i="3"/>
  <c r="C48" i="3"/>
  <c r="B48" i="3"/>
  <c r="A48" i="3"/>
  <c r="E42" i="3"/>
  <c r="E41" i="3"/>
  <c r="E40" i="3"/>
  <c r="C42" i="3"/>
  <c r="C41" i="3"/>
  <c r="C40" i="3"/>
  <c r="E43" i="3"/>
  <c r="C43" i="3"/>
  <c r="A42" i="3"/>
  <c r="A41" i="3"/>
  <c r="A40" i="3"/>
  <c r="E39" i="3"/>
  <c r="C39" i="3"/>
  <c r="A39" i="3"/>
  <c r="C35" i="3"/>
  <c r="C34" i="3"/>
  <c r="C33" i="3"/>
  <c r="C32" i="3"/>
  <c r="D32" i="3" s="1"/>
  <c r="G26" i="3"/>
  <c r="F26" i="3"/>
  <c r="H26" i="3" s="1"/>
  <c r="D26" i="3"/>
  <c r="C26" i="3"/>
  <c r="E26" i="3" s="1"/>
  <c r="H25" i="3"/>
  <c r="G25" i="3"/>
  <c r="F25" i="3"/>
  <c r="D25" i="3"/>
  <c r="C25" i="3"/>
  <c r="E25" i="3" s="1"/>
  <c r="G24" i="3"/>
  <c r="G27" i="3" s="1"/>
  <c r="F24" i="3"/>
  <c r="H24" i="3" s="1"/>
  <c r="H27" i="3" s="1"/>
  <c r="D24" i="3"/>
  <c r="D27" i="3" s="1"/>
  <c r="C24" i="3"/>
  <c r="C27" i="3" s="1"/>
  <c r="H23" i="3"/>
  <c r="G23" i="3"/>
  <c r="F23" i="3"/>
  <c r="E23" i="3"/>
  <c r="D23" i="3"/>
  <c r="C23" i="3"/>
  <c r="A19" i="3"/>
  <c r="A18" i="3"/>
  <c r="C17" i="3"/>
  <c r="B17" i="3"/>
  <c r="C16" i="3"/>
  <c r="B16" i="3"/>
  <c r="C15" i="3"/>
  <c r="B15" i="3"/>
  <c r="F43" i="3" l="1"/>
  <c r="E24" i="3"/>
  <c r="E27" i="3" s="1"/>
  <c r="A28" i="3" s="1"/>
  <c r="F27" i="3"/>
</calcChain>
</file>

<file path=xl/sharedStrings.xml><?xml version="1.0" encoding="utf-8"?>
<sst xmlns="http://schemas.openxmlformats.org/spreadsheetml/2006/main" count="174" uniqueCount="157">
  <si>
    <t>Simulador 7 · DV01 do book: juros × spread no balanço completo</t>
  </si>
  <si>
    <t>Módulo 4 · Blocos 1 e 4.1 — células azuis são editáveis. Dados ilustrativos do caso condutor.</t>
  </si>
  <si>
    <t>1 · O BALANÇO DO CASO</t>
  </si>
  <si>
    <t>Posição</t>
  </si>
  <si>
    <t>Lado</t>
  </si>
  <si>
    <t>Vértice (du)</t>
  </si>
  <si>
    <t>Valor (R$ mi)</t>
  </si>
  <si>
    <t>DV01 juros (R$/bp)</t>
  </si>
  <si>
    <t>DV01 spread (R$/bp)</t>
  </si>
  <si>
    <t>Observação</t>
  </si>
  <si>
    <t>LTN</t>
  </si>
  <si>
    <t>Ativo</t>
  </si>
  <si>
    <t>Prefixado — só juros</t>
  </si>
  <si>
    <t>NTN-F</t>
  </si>
  <si>
    <t>LFT</t>
  </si>
  <si>
    <t>Pós-fixada: juros ≈ 0, spread alto</t>
  </si>
  <si>
    <t>LF CDI + 0,90%</t>
  </si>
  <si>
    <t>Pós-fixada com spread de crédito</t>
  </si>
  <si>
    <t>CDB liquidez diária</t>
  </si>
  <si>
    <t>Passivo</t>
  </si>
  <si>
    <t>Overnight — sem sensibilidade</t>
  </si>
  <si>
    <t>LF emitida 24 meses</t>
  </si>
  <si>
    <t>Own credit — banco vendido no próprio spread</t>
  </si>
  <si>
    <t>2 · TOTAIS POR FATOR (as duas colunas nunca se misturam)</t>
  </si>
  <si>
    <t>Passivo (abate)</t>
  </si>
  <si>
    <t>Líquido do balanço</t>
  </si>
  <si>
    <t>3 · PERFIL POR VÉRTICE (bucketing / key rates) — ativo positivo, passivo negativo</t>
  </si>
  <si>
    <t>Vértice</t>
  </si>
  <si>
    <t>du</t>
  </si>
  <si>
    <t>Juros · ativo</t>
  </si>
  <si>
    <t>Juros · passivo</t>
  </si>
  <si>
    <t>Juros · líquido</t>
  </si>
  <si>
    <t>Spread · ativo</t>
  </si>
  <si>
    <t>Spread · passivo</t>
  </si>
  <si>
    <t>Spread · líquido</t>
  </si>
  <si>
    <t>overnight</t>
  </si>
  <si>
    <t>252 du</t>
  </si>
  <si>
    <t>504 du</t>
  </si>
  <si>
    <t>1.260 du</t>
  </si>
  <si>
    <t>Total (soma dos buckets)</t>
  </si>
  <si>
    <t>4 · CHOQUES POR DEFORMAÇÃO (P&amp;L em R$ mil — negativo = perda)</t>
  </si>
  <si>
    <t>Cenário</t>
  </si>
  <si>
    <t>Choque (bps)</t>
  </si>
  <si>
    <t>P&amp;L (R$ mil)</t>
  </si>
  <si>
    <t>Paralelo de juros</t>
  </si>
  <si>
    <t>Bear steepening só no vértice 504 du</t>
  </si>
  <si>
    <t>Choque de spread (fiscal piora, COPOM parado)</t>
  </si>
  <si>
    <t>Flattening / deformação por vértice — curta (overnight e 252 du) +100 bps, longa (504 e 1.260 du) −50 bps</t>
  </si>
  <si>
    <t>Choque juros (bps)</t>
  </si>
  <si>
    <t>P&amp;L juros (R$ mil)</t>
  </si>
  <si>
    <t>Choque spread (bps)</t>
  </si>
  <si>
    <t>P&amp;L spread (R$ mil)</t>
  </si>
  <si>
    <t>Total do flattening</t>
  </si>
  <si>
    <t>Leitura automática</t>
  </si>
  <si>
    <t>5 · DADOS DO GRÁFICO (calculados a partir do perfil por vértice)</t>
  </si>
  <si>
    <t>Cenários · verificação automática</t>
  </si>
  <si>
    <t>Responda nas células azuis. Os gabaritos são calculados por fórmula a partir da aba Simulador — mude os inputs de lá e os gabaritos acompanham.</t>
  </si>
  <si>
    <t>Pergunta</t>
  </si>
  <si>
    <t>Sua resposta</t>
  </si>
  <si>
    <t>Gabarito</t>
  </si>
  <si>
    <t>Verificação</t>
  </si>
  <si>
    <t>Comentário</t>
  </si>
  <si>
    <t>A.1 — as duas colunas</t>
  </si>
  <si>
    <t>DV01 de JUROS líquido do balanço (R$/bp)</t>
  </si>
  <si>
    <t>Ativo 25.300 − passivo ≈ 0. Nenhuma soma com spread.</t>
  </si>
  <si>
    <t>A.2 — as duas colunas</t>
  </si>
  <si>
    <t>DV01 de SPREAD líquido do balanço (R$/bp)</t>
  </si>
  <si>
    <t>Ativo 70.000 − own credit 20.000 = 50.000.</t>
  </si>
  <si>
    <t>B — exercício-relâmpago</t>
  </si>
  <si>
    <t>Bear steepening de 30 bps que atinge SÓ o vértice de 504 du: P&amp;L de juros (R$ mil, negativo = perda)</t>
  </si>
  <si>
    <t>16.500 × 30 bps = R$ 495 mil de perda — responde-se com o bucket, não com o DV01 total.</t>
  </si>
  <si>
    <t>C — a armadilha</t>
  </si>
  <si>
    <t>COPOM parado e o spread soberano/bancário abre 50 bps: P&amp;L do balanço (R$ mil)</t>
  </si>
  <si>
    <t>−50.000 × 50 = −R$ 2,5 mi. O risco dominante estava no spread.</t>
  </si>
  <si>
    <t>D — own credit</t>
  </si>
  <si>
    <t>O spread DO PRÓPRIO banco abre 30 bps (só a LF emitida reprecifica): efeito no patrimônio econômico (R$ mil)</t>
  </si>
  <si>
    <t>+20.000 × 30 = +R$ 600 mil — a favor: o banco está vendido no próprio spread.</t>
  </si>
  <si>
    <t>D — complemento</t>
  </si>
  <si>
    <t>Como classificar esse ganho de own credit? (escolha na lista)</t>
  </si>
  <si>
    <t>Economicamente real, contabilmente controverso</t>
  </si>
  <si>
    <t>O ganho existe em valor econômico, mas seu reconhecimento contábil é disputado.</t>
  </si>
  <si>
    <t>E — conceito</t>
  </si>
  <si>
    <t>Por que duas carteiras com o MESMO DV01 total podem ter destinos diferentes? (escolha na lista)</t>
  </si>
  <si>
    <t>Porque o perfil por vértice decide qual deformação da curva machuca</t>
  </si>
  <si>
    <t>DV01 total supõe deslocamento paralelo; a curva não se move assim.</t>
  </si>
  <si>
    <t>Resposta-modelo do Cenário E (agrupada — abra o [+] à esquerda)</t>
  </si>
  <si>
    <t>O DV01 total é uma média que supõe deslocamento paralelo da curva. Duas carteiras com o mesmo DV01 podem ter o risco concentrado em vértices diferentes — e em fatores diferentes (juros vs. spread). Um steepening pune quem concentra na longa; um flattening pune quem concentra na curta; uma abertura de spread pune a carteira 'pós-fixada e segura'. O perfil por vértice e por fator, dos dois lados do T, é o que decide qual deformação machuca.</t>
  </si>
  <si>
    <t>Módulo 4 · Blocos 1 e 4.1 — agregação do balanço completo do caso condutor em duas colunas que nunca se misturam.</t>
  </si>
  <si>
    <t>A aritmética da agregação</t>
  </si>
  <si>
    <t>DV01 se soma: é reais por ponto-base, e reais somam com reais. Some as posições do ativo, some as do passivo, abata uma da outra e você tem o DV01 líquido do balanço. Só que a soma simples supõe uma coisa forte: que a curva toda se desloca em paralelo. Essa é a primeira rachadura da métrica — e é resolvida pelo perfil por vértice.</t>
  </si>
  <si>
    <t>A disciplina dos dois fatores</t>
  </si>
  <si>
    <t>Juros (pré/DI) e spread (crédito) são fatores de risco distintos: podem se mover em direções opostas, em momentos diferentes, por razões diferentes. Somar DV01 de juros com DV01 de spread produz um número que não corresponde a nenhum risco existente. Dizer "risco de mercado" sem nomear o fator é meia-informação.</t>
  </si>
  <si>
    <t>Tradução de mesa</t>
  </si>
  <si>
    <t>"Estou comprado em 25 mil de DV01" = a carteira perde R$ 25 mil por cada ponto-base de alta da taxa. É assim que a posição é dita, cobrada e limitada no dia a dia.</t>
  </si>
  <si>
    <t>Bucketing e key rates</t>
  </si>
  <si>
    <t>Em vez de um número único, distribua o DV01 pelos vértices da curva (overnight, 252, 504, 1.260 du). A sensibilidade de cada vértice isolado — a key rate duration — responde à pergunta que o total não responde: "quanto perco se SÓ aquele ponto subir 1 bp?". O gap não é um número, é um perfil — por vértice e por fator, dos dois lados do T.</t>
  </si>
  <si>
    <t>Own credit — o passivo também tem spread</t>
  </si>
  <si>
    <t>Na LF que o próprio banco emitiu, o banco está VENDIDO no seu próprio spread. Se o crédito do banco piora, o valor de mercado da LF emitida cai — e essa queda é a favor do patrimônio econômico, porque a dívida vale menos. Economicamente real, contabilmente controverso: reconhecer lucro porque o próprio crédito piorou é disputado na contábil, mas o efeito de valor existe.</t>
  </si>
  <si>
    <t>Armadilha de mesa — a carteira "conservadora"</t>
  </si>
  <si>
    <t>Metade do ativo é pós-fixada e parece segura: DV01 de juros ≈ 0. Mas ela concentra quase três vezes o DV01 da metade prefixada — só que em outro fator, o spread (70.000 contra 25.300 R$/bp). A pergunta que desmonta o rótulo: "se o COPOM não fizer nada e o quadro fiscal piorar, qual carteira sofre?" Esta, pelo spread.</t>
  </si>
  <si>
    <t>Como usar</t>
  </si>
  <si>
    <t>1) Na aba Simulador, ajuste vértices, valores e DV01s nas células azuis. 2) Leia os totais por fator e o perfil por vértice. 3) Aplique os choques (paralelo, steepening só no 504, flattening por vértice, abertura de spread, own credit) e confira as leituras automáticas. 4) Responda os Cenários A a E — a verificação é automática. Somente as células azuis são editáveis.</t>
  </si>
  <si>
    <t>Aviso de dados ilustrativos</t>
  </si>
  <si>
    <t>Os DV01s e valores são ilustrativos, herdados do caso condutor do Módulo 3. Em aplicação real, use curvas e preços de ANBIMA e B3, séries do BCB/SGS e as divulgações de Pilar 3 da instituição. Confirme o status vigente da Res. CMN 4.557 e do arcabouço de IRRBB antes de qualquer uso regulatório.</t>
  </si>
  <si>
    <t>Prompt utilizado para gerar este simulador</t>
  </si>
  <si>
    <t>Data: 13/08/2026 · Arquivo: simulador-dv01-juros-spread.xlsx (Simulador 7 — DV01 do book: juros × spread)</t>
  </si>
  <si>
    <t># Spec — Simulador 7 · DV01 do book: juros × spread no balanço completo</t>
  </si>
  <si>
    <t>&gt; **Prompt para o Claude for Excel.** Crie um arquivo `Simulador_7_DV01_Book.xlsx` seguindo integralmente esta especificação. Ao final, cole o texto completo deste documento na aba "Prompt".</t>
  </si>
  <si>
    <t>## 1. Contexto e objetivo</t>
  </si>
  <si>
    <t>Simulador do Módulo 4, Blocos 1 e 4.1. O aluno agrega o **balanço completo do caso condutor** (ativo E passivo) em **duas colunas que nunca se misturam — DV01 de juros e DV01 de spread** —, monta o perfil por vértice (bucketing/key rates) e lê o perfil contra as deformações da curva. Inclui o efeito **own credit** no passivo.</t>
  </si>
  <si>
    <t>Mensagens pedagógicas centrais: *"DV01 soma em reais; juros e spread são duas colunas, duas contas, sempre"*; *"O gap não é um número, é um perfil — por vértice e por fator, dos dois lados do T"*; e a armadilha da carteira "conservadora": *"a metade pós-fixada e segura concentra quase três vezes o DV01 da metade prefixada — só que em outro fator."*</t>
  </si>
  <si>
    <t>## 2. Estrutura do arquivo (4 abas, nesta ordem)</t>
  </si>
  <si>
    <t>1. **Instruções** · 2. **Simulador** · 3. **Cenários** · 4. **Prompt**</t>
  </si>
  <si>
    <t>## 3. Convenções visuais</t>
  </si>
  <si>
    <t>Padrão do curso: fundo branco, Arial, títulos `#002C4D`, texto `#202427`, resultados `#0C63AA`, inputs `#DCE9F5` desbloqueados, resto bloqueado (proteção sem senha). DV01 em R$/bp sem decimais; valores em R$ mil onde indicado.</t>
  </si>
  <si>
    <t>## 4. Aba "Instruções"</t>
  </si>
  <si>
    <t>- A aritmética da agregação: DV01 se soma (reais por bp); a soma simples supõe **deslocamento paralelo** — a "primeira rachadura", resolvida pelo perfil por vértice.</t>
  </si>
  <si>
    <t>- A disciplina dos dois fatores: juros (pré/DI) × spread (crédito) — dizer "risco de mercado" sem nomear o fator é meia-informação.</t>
  </si>
  <si>
    <t>- Tradução de mesa: "estou comprado em 25 mil de DV01" = a carteira perde R$ 25 mil por ponto-base de alta.</t>
  </si>
  <si>
    <t>- Bucketing e key rates: distribuir o DV01 pelos vértices; a sensibilidade de cada vértice isolado responde "quanto perco se SÓ aquele ponto subir 1 bp".</t>
  </si>
  <si>
    <t>- **Own credit** (caixa destacada): no passivo, o banco está **vendido no próprio spread** — se o crédito do banco piora, o valor da LF emitida cai, e essa queda é *a favor* do patrimônio econômico. Economicamente real, contabilmente controverso.</t>
  </si>
  <si>
    <t>- **Armadilha de mesa** (caixa destacada): a carteira "conservadora" — *"se o COPOM não fizer nada e o quadro fiscal piorar, qual carteira sofre? Esta, pelo spread."*</t>
  </si>
  <si>
    <t>- Aviso de dados ilustrativos (DV01s do Módulo 3; aplicação real: ANBIMA, B3, BCB/SGS, Pilar 3; confirmar status vigente da Res. CMN 4.557/IRRBB).</t>
  </si>
  <si>
    <t>## 5. Aba "Simulador"</t>
  </si>
  <si>
    <t>### 5.1 Bloco "O balanço do caso" (inputs azuis: valores e DV01s, com defaults do material)</t>
  </si>
  <si>
    <t>**ATIVO (R$ 100 mi cada):** LTN · 252 du · DV01 juros 8.800 · spread —; NTN-F · 504 du · 16.500 · —; LFT · 1.260 du · ≈ 0 · 50.000; LF CDI + 0,90 · 504 du · ≈ 0 · 20.000.</t>
  </si>
  <si>
    <t>**PASSIVO:** CDB liquidez diária (R$ 300 mi) · overnight · ≈ 0 · ≈ 0; LF emitida 24 meses (R$ 100 mi) · 504 du · ≈ 0 · 20.000 (own credit — a favor).</t>
  </si>
  <si>
    <t>### 5.2 Bloco "Totais por fator" (calculados, destaque)</t>
  </si>
  <si>
    <t>Ativo: DV01 juros **25.300** / spread **70.000**. Passivo (abate): ≈ 0 / 20.000. **Líquido do balanço: ≈ 25.300 / 50.000.**</t>
  </si>
  <si>
    <t>- Linha de leitura automática comparando os dois líquidos: *"O risco dominante do balanço mora no fator [spread/juros] — R$ X mil/bp contra R$ Y mil/bp."*</t>
  </si>
  <si>
    <t>- Célula-frase own credit: o abatimento de 20 mil no spread vem da LF emitida — o banco vendido no próprio crédito.</t>
  </si>
  <si>
    <t>### 5.3 Bloco "Perfil por vértice" (bucketing)</t>
  </si>
  <si>
    <t>Tabela: vértices (overnight, 252, 504, 1.260 du) × fatores, ativo com sinal positivo e passivo negativo, coluna líquida por vértice. Com defaults: juros concentra em 252 (8,8) e 504 (16,5); spread em 1.260 (50) e 504 (20 − 20 = 0 líquido).</t>
  </si>
  <si>
    <t>### 5.4 Bloco "Choques por deformação" (inputs azuis: bps por cenário)</t>
  </si>
  <si>
    <t>Paralelo de juros (+100 bps): DV01 juros líquido × choque. Bear steepening só no 504 (+30 bps): key rate do 504 (juros) × 30. Flattening (curta +100, longa −50): por vértice. Choque de spread (fiscal piora, COPOM parado, +50 bps): DV01 spread líquido × choque.</t>
  </si>
  <si>
    <t>P&amp;L de cada cenário em R$ mil com formatação condicional e leitura automática — obrigatória a do choque de spread: *"COPOM parado e o balanço perde R$ X mil — o risco que a palavra 'pós-fixado' escondia."*</t>
  </si>
  <si>
    <t>### 5.5 Gráfico (este simulador DEVE ter gráfico)</t>
  </si>
  <si>
    <t>Colunas empilhadas por vértice: eixo X = vértices; barras positivas = ativo, negativas = passivo; duas séries de cor por fator (juros `#002C4D`, spread `#0C63AA`). Título: "O gap não é um número, é um perfil — por vértice e por fator".</t>
  </si>
  <si>
    <t>## 6. Aba "Cenários"</t>
  </si>
  <si>
    <t>Verificação automática padrão (gabaritos por fórmula).</t>
  </si>
  <si>
    <t>- **Cenário A (as duas colunas):** monte os totais líquidos do balanço por fator. Gabarito: juros ≈ **25.300**; spread ≈ **50.000**.</t>
  </si>
  <si>
    <t>- **Cenário B (exercício-relâmpago do material):** um bear steepening de 30 bps que atinja só o vértice de 504 du — qual a perda de juros? Gabarito: 16.500 × 30 = **R$ 495 mil** (responde-se com o bucket, não com o DV01 total).</t>
  </si>
  <si>
    <t>- **Cenário C (a pergunta da armadilha):** COPOM parado, spread soberano/bancário abre 50 bps. P&amp;L do balanço? Gabarito: −50.000 × 50 = **−R$ 2,5 mi**; leitura: o risco dominante estava no spread.</t>
  </si>
  <si>
    <t>- **Cenário D (own credit):** o spread DO PRÓPRIO banco abre 30 bps (só a LF emitida reprecifica). Efeito no patrimônio econômico? Gabarito: +20.000 × 30 = **+R$ 600 mil** — a favor; complemento por lista: "economicamente real, contabilmente controverso".</t>
  </si>
  <si>
    <t>- **Cenário E (conceito):** por que duas carteiras com o mesmo DV01 total podem ter destinos diferentes? Resposta-modelo oculta: o perfil por vértice decide qual deformação machuca.</t>
  </si>
  <si>
    <t>## 7. Aba "Prompt"</t>
  </si>
  <si>
    <t>Colar o texto integral desta especificação, com título "Prompt utilizado para gerar este simulador" e data.</t>
  </si>
  <si>
    <t>## 8. Critérios de aceite</t>
  </si>
  <si>
    <t>- Totais com defaults: juros 25.300 / spread 70.000 no ativo, 50.000 líquido; nenhuma célula soma juros com spread em lugar algum.</t>
  </si>
  <si>
    <t>- O perfil por vértice fecha com os totais (soma dos buckets = total do fator).</t>
  </si>
  <si>
    <t>- Cenários B, C e D devolvem 495 mil, −2,5 mi e +600 mil por fórmula.</t>
  </si>
  <si>
    <t>- Gráfico com ativo positivo/passivo negativo por fator; apenas células azuis editáveis; aba Prompt com a spec na íntegra.</t>
  </si>
  <si>
    <t>Own credit: abre o spread do próprio banco (LF emitida)</t>
  </si>
  <si>
    <t>Opções · Cenário D (fonte da lista de C10)</t>
  </si>
  <si>
    <t>Ganho contábil sem efeito econômico</t>
  </si>
  <si>
    <t>Perda econômica para o banco</t>
  </si>
  <si>
    <t>Irrelevante: own credit não afeta o patrimônio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</si>
</sst>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&quot;—&quot;"/>
  </numFmts>
  <fonts count="21" x14ac:knownFonts="1">
    <font>
      <sz val="11"/>
      <color theme="1"/>
      <name val="Aptos Narrow"/>
      <family val="2"/>
      <scheme val="minor"/>
    </font>
    <font>
      <b/>
      <sz val="16"/>
      <color rgb="FF002C4D"/>
      <name val="Arial"/>
    </font>
    <font>
      <sz val="10"/>
      <color rgb="FF202427"/>
      <name val="Arial"/>
    </font>
    <font>
      <i/>
      <sz val="10"/>
      <color rgb="FF202427"/>
      <name val="Arial"/>
    </font>
    <font>
      <b/>
      <sz val="12"/>
      <color rgb="FF002C4D"/>
      <name val="Arial"/>
    </font>
    <font>
      <b/>
      <sz val="11"/>
      <color rgb="FF002C4D"/>
      <name val="Arial"/>
    </font>
    <font>
      <sz val="11"/>
      <color rgb="FF202427"/>
      <name val="Arial"/>
    </font>
    <font>
      <b/>
      <sz val="10"/>
      <color rgb="FF202427"/>
      <name val="Arial"/>
    </font>
    <font>
      <b/>
      <sz val="10"/>
      <color rgb="FF002C4D"/>
      <name val="Arial"/>
    </font>
    <font>
      <b/>
      <sz val="10"/>
      <color rgb="FFFFFFFF"/>
      <name val="Arial"/>
    </font>
    <font>
      <sz val="10"/>
      <color rgb="FF0C63AA"/>
      <name val="Arial"/>
    </font>
    <font>
      <b/>
      <sz val="10"/>
      <color rgb="FF0C63AA"/>
      <name val="Arial"/>
    </font>
    <font>
      <sz val="10"/>
      <color rgb="FF0000FF"/>
      <name val="Arial"/>
    </font>
    <font>
      <i/>
      <sz val="10"/>
      <color rgb="FF0C63AA"/>
      <name val="Arial"/>
    </font>
    <font>
      <b/>
      <i/>
      <sz val="10"/>
      <color rgb="FF0C63AA"/>
      <name val="Arial"/>
    </font>
    <font>
      <i/>
      <sz val="11"/>
      <color rgb="FF202427"/>
      <name val="Arial"/>
    </font>
    <font>
      <i/>
      <sz val="11"/>
      <color rgb="FF0C63AA"/>
      <name val="Arial"/>
    </font>
    <font>
      <b/>
      <i/>
      <sz val="12"/>
      <color rgb="FF002C4D"/>
      <name val="Arial"/>
    </font>
    <font>
      <b/>
      <sz val="11"/>
      <color rgb="FFFFFFFF"/>
      <name val="Aptos Narrow"/>
      <family val="2"/>
      <scheme val="minor"/>
    </font>
    <font>
      <b/>
      <sz val="9"/>
      <color rgb="FF0C63AA"/>
      <name val="Arial"/>
    </font>
    <font>
      <sz val="9"/>
      <color rgb="FF202427"/>
      <name val="Arial"/>
    </font>
  </fonts>
  <fills count="5">
    <fill>
      <patternFill patternType="none"/>
    </fill>
    <fill>
      <patternFill patternType="gray125"/>
    </fill>
    <fill>
      <patternFill patternType="solid">
        <fgColor rgb="FF002C4D"/>
        <bgColor indexed="64"/>
      </patternFill>
    </fill>
    <fill>
      <patternFill patternType="solid">
        <fgColor rgb="FFDCE9F5"/>
        <bgColor indexed="64"/>
      </patternFill>
    </fill>
    <fill>
      <patternFill patternType="solid">
        <fgColor rgb="FFF1F6FB"/>
        <bgColor indexed="64"/>
      </patternFill>
    </fill>
  </fills>
  <borders count="3">
    <border>
      <left/>
      <right/>
      <top/>
      <bottom/>
      <diagonal/>
    </border>
    <border>
      <left style="thick">
        <color rgb="FF0C63AA"/>
      </left>
      <right style="thin">
        <color rgb="FF0C63AA"/>
      </right>
      <top style="thin">
        <color rgb="FF0C63AA"/>
      </top>
      <bottom/>
      <diagonal/>
    </border>
    <border>
      <left style="thick">
        <color rgb="FF0C63AA"/>
      </left>
      <right style="thin">
        <color rgb="FF0C63AA"/>
      </right>
      <top/>
      <bottom style="thin">
        <color rgb="FF0C63AA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9" fillId="2" borderId="0" xfId="0" applyFont="1" applyFill="1" applyAlignment="1">
      <alignment horizontal="center" wrapText="1"/>
    </xf>
    <xf numFmtId="164" fontId="10" fillId="0" borderId="0" xfId="0" applyNumberFormat="1" applyFont="1"/>
    <xf numFmtId="0" fontId="7" fillId="0" borderId="0" xfId="0" applyFont="1"/>
    <xf numFmtId="164" fontId="11" fillId="0" borderId="0" xfId="0" applyNumberFormat="1" applyFont="1"/>
    <xf numFmtId="0" fontId="14" fillId="0" borderId="0" xfId="0" applyFont="1"/>
    <xf numFmtId="0" fontId="13" fillId="0" borderId="0" xfId="0" applyFont="1"/>
    <xf numFmtId="0" fontId="9" fillId="2" borderId="0" xfId="0" applyFont="1" applyFill="1" applyAlignment="1">
      <alignment horizontal="center"/>
    </xf>
    <xf numFmtId="0" fontId="13" fillId="0" borderId="0" xfId="0" applyFont="1" applyAlignment="1">
      <alignment wrapText="1"/>
    </xf>
    <xf numFmtId="0" fontId="5" fillId="0" borderId="0" xfId="0" applyFont="1"/>
    <xf numFmtId="0" fontId="12" fillId="3" borderId="0" xfId="0" applyFont="1" applyFill="1" applyProtection="1">
      <protection locked="0"/>
    </xf>
    <xf numFmtId="3" fontId="12" fillId="3" borderId="0" xfId="0" applyNumberFormat="1" applyFont="1" applyFill="1" applyProtection="1">
      <protection locked="0"/>
    </xf>
    <xf numFmtId="164" fontId="12" fillId="3" borderId="0" xfId="0" applyNumberFormat="1" applyFont="1" applyFill="1" applyProtection="1">
      <protection locked="0"/>
    </xf>
    <xf numFmtId="0" fontId="8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1" fillId="0" borderId="0" xfId="0" applyFont="1"/>
    <xf numFmtId="164" fontId="12" fillId="3" borderId="0" xfId="0" applyNumberFormat="1" applyFont="1" applyFill="1" applyAlignment="1" applyProtection="1">
      <alignment horizontal="center"/>
      <protection locked="0"/>
    </xf>
    <xf numFmtId="0" fontId="12" fillId="3" borderId="0" xfId="0" applyFont="1" applyFill="1" applyAlignment="1" applyProtection="1">
      <alignment horizontal="center"/>
      <protection locked="0"/>
    </xf>
    <xf numFmtId="0" fontId="1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3" fontId="2" fillId="0" borderId="0" xfId="0" applyNumberFormat="1" applyFont="1"/>
    <xf numFmtId="0" fontId="4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9" fillId="0" borderId="0" xfId="0" applyFont="1"/>
    <xf numFmtId="0" fontId="20" fillId="0" borderId="0" xfId="0" applyFont="1"/>
    <xf numFmtId="0" fontId="13" fillId="0" borderId="0" xfId="0" applyFont="1"/>
    <xf numFmtId="0" fontId="18" fillId="2" borderId="0" xfId="0" applyFont="1" applyFill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Normal" xfId="0" builtinId="0"/>
  </cellStyles>
  <dxfs count="8">
    <dxf>
      <font>
        <color rgb="FFB00020"/>
      </font>
    </dxf>
    <dxf>
      <font>
        <b/>
        <i val="0"/>
        <color rgb="FF1E7B34"/>
      </font>
    </dxf>
    <dxf>
      <font>
        <b/>
        <i val="0"/>
        <color rgb="FF1E7B34"/>
      </font>
    </dxf>
    <dxf>
      <font>
        <b/>
        <i val="0"/>
        <color rgb="FFB00020"/>
      </font>
    </dxf>
    <dxf>
      <font>
        <b/>
        <i val="0"/>
        <color rgb="FF1E7B34"/>
      </font>
    </dxf>
    <dxf>
      <font>
        <b/>
        <i val="0"/>
        <color rgb="FFB00020"/>
      </font>
    </dxf>
    <dxf>
      <font>
        <b/>
        <i val="0"/>
        <color rgb="FF1E7B34"/>
      </font>
    </dxf>
    <dxf>
      <font>
        <b/>
        <i val="0"/>
        <color rgb="FFB000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 gap não é um número, é um perfil — por vértice e por fator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Simulador!$B$47</c:f>
              <c:strCache>
                <c:ptCount val="1"/>
                <c:pt idx="0">
                  <c:v>Juros · ativo</c:v>
                </c:pt>
              </c:strCache>
            </c:strRef>
          </c:tx>
          <c:spPr>
            <a:solidFill>
              <a:srgbClr val="002C4D"/>
            </a:solidFill>
            <a:ln>
              <a:noFill/>
            </a:ln>
            <a:effectLst/>
          </c:spPr>
          <c:invertIfNegative val="0"/>
          <c:cat>
            <c:strRef>
              <c:f>Simulador!$A$48:$A$51</c:f>
              <c:strCache>
                <c:ptCount val="4"/>
                <c:pt idx="0">
                  <c:v>overnight</c:v>
                </c:pt>
                <c:pt idx="1">
                  <c:v>252 du</c:v>
                </c:pt>
                <c:pt idx="2">
                  <c:v>504 du</c:v>
                </c:pt>
                <c:pt idx="3">
                  <c:v>1.260 du</c:v>
                </c:pt>
              </c:strCache>
            </c:strRef>
          </c:cat>
          <c:val>
            <c:numRef>
              <c:f>Simulador!$B$48:$B$51</c:f>
              <c:numCache>
                <c:formatCode>#,##0;\(#,##0\);"—"</c:formatCode>
                <c:ptCount val="4"/>
                <c:pt idx="0">
                  <c:v>0</c:v>
                </c:pt>
                <c:pt idx="1">
                  <c:v>8800</c:v>
                </c:pt>
                <c:pt idx="2">
                  <c:v>16500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EA-4EC1-AC93-D1DB942494F4}"/>
            </c:ext>
          </c:extLst>
        </c:ser>
        <c:ser>
          <c:idx val="1"/>
          <c:order val="1"/>
          <c:tx>
            <c:strRef>
              <c:f>Simulador!$C$47</c:f>
              <c:strCache>
                <c:ptCount val="1"/>
                <c:pt idx="0">
                  <c:v>Juros · passivo</c:v>
                </c:pt>
              </c:strCache>
            </c:strRef>
          </c:tx>
          <c:spPr>
            <a:solidFill>
              <a:srgbClr val="5B7C93"/>
            </a:solidFill>
            <a:ln>
              <a:noFill/>
            </a:ln>
            <a:effectLst/>
          </c:spPr>
          <c:invertIfNegative val="0"/>
          <c:cat>
            <c:strRef>
              <c:f>Simulador!$A$48:$A$51</c:f>
              <c:strCache>
                <c:ptCount val="4"/>
                <c:pt idx="0">
                  <c:v>overnight</c:v>
                </c:pt>
                <c:pt idx="1">
                  <c:v>252 du</c:v>
                </c:pt>
                <c:pt idx="2">
                  <c:v>504 du</c:v>
                </c:pt>
                <c:pt idx="3">
                  <c:v>1.260 du</c:v>
                </c:pt>
              </c:strCache>
            </c:strRef>
          </c:cat>
          <c:val>
            <c:numRef>
              <c:f>Simulador!$C$48:$C$51</c:f>
              <c:numCache>
                <c:formatCode>#,##0;\(#,##0\);"—"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EA-4EC1-AC93-D1DB942494F4}"/>
            </c:ext>
          </c:extLst>
        </c:ser>
        <c:ser>
          <c:idx val="2"/>
          <c:order val="2"/>
          <c:tx>
            <c:strRef>
              <c:f>Simulador!$D$47</c:f>
              <c:strCache>
                <c:ptCount val="1"/>
                <c:pt idx="0">
                  <c:v>Spread · ativo</c:v>
                </c:pt>
              </c:strCache>
            </c:strRef>
          </c:tx>
          <c:spPr>
            <a:solidFill>
              <a:srgbClr val="0C63AA"/>
            </a:solidFill>
            <a:ln>
              <a:noFill/>
            </a:ln>
            <a:effectLst/>
          </c:spPr>
          <c:invertIfNegative val="0"/>
          <c:cat>
            <c:strRef>
              <c:f>Simulador!$A$48:$A$51</c:f>
              <c:strCache>
                <c:ptCount val="4"/>
                <c:pt idx="0">
                  <c:v>overnight</c:v>
                </c:pt>
                <c:pt idx="1">
                  <c:v>252 du</c:v>
                </c:pt>
                <c:pt idx="2">
                  <c:v>504 du</c:v>
                </c:pt>
                <c:pt idx="3">
                  <c:v>1.260 du</c:v>
                </c:pt>
              </c:strCache>
            </c:strRef>
          </c:cat>
          <c:val>
            <c:numRef>
              <c:f>Simulador!$D$48:$D$51</c:f>
              <c:numCache>
                <c:formatCode>#,##0;\(#,##0\);"—"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20000</c:v>
                </c:pt>
                <c:pt idx="3">
                  <c:v>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EA-4EC1-AC93-D1DB942494F4}"/>
            </c:ext>
          </c:extLst>
        </c:ser>
        <c:ser>
          <c:idx val="3"/>
          <c:order val="3"/>
          <c:tx>
            <c:strRef>
              <c:f>Simulador!$E$47</c:f>
              <c:strCache>
                <c:ptCount val="1"/>
                <c:pt idx="0">
                  <c:v>Spread · passivo</c:v>
                </c:pt>
              </c:strCache>
            </c:strRef>
          </c:tx>
          <c:spPr>
            <a:solidFill>
              <a:srgbClr val="7FB3DC"/>
            </a:solidFill>
            <a:ln>
              <a:noFill/>
            </a:ln>
            <a:effectLst/>
          </c:spPr>
          <c:invertIfNegative val="0"/>
          <c:cat>
            <c:strRef>
              <c:f>Simulador!$A$48:$A$51</c:f>
              <c:strCache>
                <c:ptCount val="4"/>
                <c:pt idx="0">
                  <c:v>overnight</c:v>
                </c:pt>
                <c:pt idx="1">
                  <c:v>252 du</c:v>
                </c:pt>
                <c:pt idx="2">
                  <c:v>504 du</c:v>
                </c:pt>
                <c:pt idx="3">
                  <c:v>1.260 du</c:v>
                </c:pt>
              </c:strCache>
            </c:strRef>
          </c:cat>
          <c:val>
            <c:numRef>
              <c:f>Simulador!$E$48:$E$51</c:f>
              <c:numCache>
                <c:formatCode>#,##0;\(#,##0\);"—"</c:formatCode>
                <c:ptCount val="4"/>
                <c:pt idx="0">
                  <c:v>0</c:v>
                </c:pt>
                <c:pt idx="1">
                  <c:v>0</c:v>
                </c:pt>
                <c:pt idx="2">
                  <c:v>-20000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EA-4EC1-AC93-D1DB94249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67714032"/>
        <c:axId val="1955302896"/>
      </c:barChart>
      <c:catAx>
        <c:axId val="1267714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Vértice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55302896"/>
        <c:crosses val="autoZero"/>
        <c:auto val="1"/>
        <c:lblAlgn val="ctr"/>
        <c:lblOffset val="100"/>
        <c:noMultiLvlLbl val="0"/>
      </c:catAx>
      <c:valAx>
        <c:axId val="195530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DV01 (R$/bp) — ativo positivo, passivo negativo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;\(#,##0\);&quot;—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267714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PerfilPorVertice">
          <a:extLst>
            <a:ext uri="{FF2B5EF4-FFF2-40B4-BE49-F238E27FC236}">
              <a16:creationId xmlns:a16="http://schemas.microsoft.com/office/drawing/2014/main" id="{7B40577C-F87B-2F92-C7CC-1D1A8FF3EF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25D76FB-059D-45EE-A032-8732A446A5F2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a8d20bc9-601d-40ba-80b8-80c7e8b83b2c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4086-7946-4758-84B1-5D8F7F1626E2}">
  <dimension ref="A1:A30"/>
  <sheetViews>
    <sheetView showGridLines="0" workbookViewId="0"/>
  </sheetViews>
  <sheetFormatPr defaultRowHeight="14.4" x14ac:dyDescent="0.3"/>
  <cols>
    <col min="1" max="1" width="114.77734375" customWidth="1"/>
  </cols>
  <sheetData>
    <row r="1" spans="1:1" ht="25.95" customHeight="1" x14ac:dyDescent="0.3">
      <c r="A1" s="1" t="s">
        <v>0</v>
      </c>
    </row>
    <row r="2" spans="1:1" ht="18" customHeight="1" x14ac:dyDescent="0.3">
      <c r="A2" s="2" t="s">
        <v>87</v>
      </c>
    </row>
    <row r="3" spans="1:1" ht="7.95" customHeight="1" x14ac:dyDescent="0.3">
      <c r="A3" s="3"/>
    </row>
    <row r="4" spans="1:1" ht="19.95" customHeight="1" x14ac:dyDescent="0.3">
      <c r="A4" s="4" t="s">
        <v>88</v>
      </c>
    </row>
    <row r="5" spans="1:1" ht="41.4" x14ac:dyDescent="0.3">
      <c r="A5" s="3" t="s">
        <v>89</v>
      </c>
    </row>
    <row r="6" spans="1:1" ht="7.95" customHeight="1" x14ac:dyDescent="0.3">
      <c r="A6" s="3"/>
    </row>
    <row r="7" spans="1:1" ht="19.95" customHeight="1" x14ac:dyDescent="0.3">
      <c r="A7" s="4" t="s">
        <v>90</v>
      </c>
    </row>
    <row r="8" spans="1:1" ht="41.4" x14ac:dyDescent="0.3">
      <c r="A8" s="3" t="s">
        <v>91</v>
      </c>
    </row>
    <row r="9" spans="1:1" ht="7.95" customHeight="1" x14ac:dyDescent="0.3">
      <c r="A9" s="3"/>
    </row>
    <row r="10" spans="1:1" ht="19.95" customHeight="1" x14ac:dyDescent="0.3">
      <c r="A10" s="4" t="s">
        <v>92</v>
      </c>
    </row>
    <row r="11" spans="1:1" ht="27.6" x14ac:dyDescent="0.3">
      <c r="A11" s="3" t="s">
        <v>93</v>
      </c>
    </row>
    <row r="12" spans="1:1" ht="7.95" customHeight="1" x14ac:dyDescent="0.3">
      <c r="A12" s="3"/>
    </row>
    <row r="13" spans="1:1" ht="19.95" customHeight="1" x14ac:dyDescent="0.3">
      <c r="A13" s="4" t="s">
        <v>94</v>
      </c>
    </row>
    <row r="14" spans="1:1" ht="41.4" x14ac:dyDescent="0.3">
      <c r="A14" s="3" t="s">
        <v>95</v>
      </c>
    </row>
    <row r="15" spans="1:1" ht="7.95" customHeight="1" x14ac:dyDescent="0.3">
      <c r="A15" s="3"/>
    </row>
    <row r="16" spans="1:1" ht="19.95" customHeight="1" x14ac:dyDescent="0.3">
      <c r="A16" s="32" t="s">
        <v>96</v>
      </c>
    </row>
    <row r="17" spans="1:1" ht="55.2" x14ac:dyDescent="0.3">
      <c r="A17" s="33" t="s">
        <v>97</v>
      </c>
    </row>
    <row r="18" spans="1:1" ht="7.95" customHeight="1" x14ac:dyDescent="0.3">
      <c r="A18" s="3"/>
    </row>
    <row r="19" spans="1:1" ht="19.95" customHeight="1" x14ac:dyDescent="0.3">
      <c r="A19" s="32" t="s">
        <v>98</v>
      </c>
    </row>
    <row r="20" spans="1:1" ht="41.4" x14ac:dyDescent="0.3">
      <c r="A20" s="33" t="s">
        <v>99</v>
      </c>
    </row>
    <row r="21" spans="1:1" ht="7.95" customHeight="1" x14ac:dyDescent="0.3">
      <c r="A21" s="3"/>
    </row>
    <row r="22" spans="1:1" ht="19.95" customHeight="1" x14ac:dyDescent="0.3">
      <c r="A22" s="4" t="s">
        <v>100</v>
      </c>
    </row>
    <row r="23" spans="1:1" ht="41.4" x14ac:dyDescent="0.3">
      <c r="A23" s="3" t="s">
        <v>101</v>
      </c>
    </row>
    <row r="24" spans="1:1" ht="7.95" customHeight="1" x14ac:dyDescent="0.3">
      <c r="A24" s="3"/>
    </row>
    <row r="25" spans="1:1" ht="19.95" customHeight="1" x14ac:dyDescent="0.3">
      <c r="A25" s="5" t="s">
        <v>102</v>
      </c>
    </row>
    <row r="26" spans="1:1" ht="43.2" x14ac:dyDescent="0.3">
      <c r="A26" s="6" t="s">
        <v>103</v>
      </c>
    </row>
    <row r="27" spans="1:1" x14ac:dyDescent="0.3">
      <c r="A27" s="3"/>
    </row>
    <row r="28" spans="1:1" x14ac:dyDescent="0.3">
      <c r="A28" s="3"/>
    </row>
    <row r="29" spans="1:1" x14ac:dyDescent="0.3">
      <c r="A29" s="3"/>
    </row>
    <row r="30" spans="1:1" x14ac:dyDescent="0.3">
      <c r="A30" s="3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2E95-CE8D-48AF-8840-F89893F115F3}">
  <dimension ref="A1:H60"/>
  <sheetViews>
    <sheetView showGridLines="0" tabSelected="1" topLeftCell="A2" workbookViewId="0"/>
  </sheetViews>
  <sheetFormatPr defaultRowHeight="14.4" x14ac:dyDescent="0.3"/>
  <cols>
    <col min="1" max="1" width="48.109375" customWidth="1"/>
    <col min="2" max="8" width="17.5546875" customWidth="1"/>
  </cols>
  <sheetData>
    <row r="1" spans="1:8" ht="21" x14ac:dyDescent="0.4">
      <c r="A1" s="7" t="s">
        <v>0</v>
      </c>
      <c r="B1" s="8"/>
      <c r="C1" s="8"/>
      <c r="D1" s="8"/>
      <c r="E1" s="8"/>
      <c r="F1" s="8"/>
      <c r="G1" s="8"/>
      <c r="H1" s="8"/>
    </row>
    <row r="2" spans="1:8" x14ac:dyDescent="0.3">
      <c r="A2" s="9" t="s">
        <v>1</v>
      </c>
      <c r="B2" s="8"/>
      <c r="C2" s="8"/>
      <c r="D2" s="8"/>
      <c r="E2" s="8"/>
      <c r="F2" s="8"/>
      <c r="G2" s="8"/>
      <c r="H2" s="8"/>
    </row>
    <row r="3" spans="1:8" x14ac:dyDescent="0.3">
      <c r="A3" s="8"/>
      <c r="B3" s="8"/>
      <c r="C3" s="8"/>
      <c r="D3" s="8"/>
      <c r="E3" s="8"/>
      <c r="F3" s="8"/>
      <c r="G3" s="8"/>
      <c r="H3" s="8"/>
    </row>
    <row r="4" spans="1:8" ht="15.6" x14ac:dyDescent="0.3">
      <c r="A4" s="10" t="s">
        <v>2</v>
      </c>
      <c r="B4" s="8"/>
      <c r="C4" s="8"/>
      <c r="D4" s="8"/>
      <c r="E4" s="8"/>
      <c r="F4" s="8"/>
      <c r="G4" s="8"/>
      <c r="H4" s="8"/>
    </row>
    <row r="5" spans="1:8" ht="27" x14ac:dyDescent="0.3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8"/>
    </row>
    <row r="6" spans="1:8" x14ac:dyDescent="0.3">
      <c r="A6" s="8" t="s">
        <v>10</v>
      </c>
      <c r="B6" s="8" t="s">
        <v>11</v>
      </c>
      <c r="C6" s="20">
        <v>252</v>
      </c>
      <c r="D6" s="21">
        <v>100</v>
      </c>
      <c r="E6" s="22">
        <v>8800</v>
      </c>
      <c r="F6" s="22">
        <v>0</v>
      </c>
      <c r="G6" s="8" t="s">
        <v>12</v>
      </c>
      <c r="H6" s="8"/>
    </row>
    <row r="7" spans="1:8" x14ac:dyDescent="0.3">
      <c r="A7" s="8" t="s">
        <v>13</v>
      </c>
      <c r="B7" s="8" t="s">
        <v>11</v>
      </c>
      <c r="C7" s="20">
        <v>504</v>
      </c>
      <c r="D7" s="21">
        <v>100</v>
      </c>
      <c r="E7" s="22">
        <v>16500</v>
      </c>
      <c r="F7" s="22">
        <v>0</v>
      </c>
      <c r="G7" s="8" t="s">
        <v>12</v>
      </c>
      <c r="H7" s="8"/>
    </row>
    <row r="8" spans="1:8" x14ac:dyDescent="0.3">
      <c r="A8" s="8" t="s">
        <v>14</v>
      </c>
      <c r="B8" s="8" t="s">
        <v>11</v>
      </c>
      <c r="C8" s="21">
        <v>1260</v>
      </c>
      <c r="D8" s="21">
        <v>100</v>
      </c>
      <c r="E8" s="22">
        <v>0</v>
      </c>
      <c r="F8" s="22">
        <v>50000</v>
      </c>
      <c r="G8" s="8" t="s">
        <v>15</v>
      </c>
      <c r="H8" s="8"/>
    </row>
    <row r="9" spans="1:8" x14ac:dyDescent="0.3">
      <c r="A9" s="8" t="s">
        <v>16</v>
      </c>
      <c r="B9" s="8" t="s">
        <v>11</v>
      </c>
      <c r="C9" s="20">
        <v>504</v>
      </c>
      <c r="D9" s="21">
        <v>100</v>
      </c>
      <c r="E9" s="22">
        <v>0</v>
      </c>
      <c r="F9" s="22">
        <v>20000</v>
      </c>
      <c r="G9" s="8" t="s">
        <v>17</v>
      </c>
      <c r="H9" s="8"/>
    </row>
    <row r="10" spans="1:8" x14ac:dyDescent="0.3">
      <c r="A10" s="8" t="s">
        <v>18</v>
      </c>
      <c r="B10" s="8" t="s">
        <v>19</v>
      </c>
      <c r="C10" s="20">
        <v>0</v>
      </c>
      <c r="D10" s="21">
        <v>300</v>
      </c>
      <c r="E10" s="22">
        <v>0</v>
      </c>
      <c r="F10" s="22">
        <v>0</v>
      </c>
      <c r="G10" s="8" t="s">
        <v>20</v>
      </c>
      <c r="H10" s="8"/>
    </row>
    <row r="11" spans="1:8" x14ac:dyDescent="0.3">
      <c r="A11" s="8" t="s">
        <v>21</v>
      </c>
      <c r="B11" s="8" t="s">
        <v>19</v>
      </c>
      <c r="C11" s="20">
        <v>504</v>
      </c>
      <c r="D11" s="21">
        <v>100</v>
      </c>
      <c r="E11" s="22">
        <v>0</v>
      </c>
      <c r="F11" s="22">
        <v>20000</v>
      </c>
      <c r="G11" s="8" t="s">
        <v>22</v>
      </c>
      <c r="H11" s="8"/>
    </row>
    <row r="12" spans="1:8" x14ac:dyDescent="0.3">
      <c r="A12" s="8"/>
      <c r="B12" s="8"/>
      <c r="C12" s="8"/>
      <c r="D12" s="8"/>
      <c r="E12" s="8"/>
      <c r="F12" s="8"/>
      <c r="G12" s="8"/>
      <c r="H12" s="8"/>
    </row>
    <row r="13" spans="1:8" ht="15.6" x14ac:dyDescent="0.3">
      <c r="A13" s="10" t="s">
        <v>23</v>
      </c>
      <c r="B13" s="8"/>
      <c r="C13" s="8"/>
      <c r="D13" s="8"/>
      <c r="E13" s="8"/>
      <c r="F13" s="8"/>
      <c r="G13" s="8"/>
      <c r="H13" s="8"/>
    </row>
    <row r="14" spans="1:8" ht="40.200000000000003" x14ac:dyDescent="0.3">
      <c r="A14" s="8"/>
      <c r="B14" s="11" t="s">
        <v>7</v>
      </c>
      <c r="C14" s="11" t="s">
        <v>8</v>
      </c>
      <c r="D14" s="8"/>
      <c r="E14" s="8"/>
      <c r="F14" s="8"/>
      <c r="G14" s="8"/>
      <c r="H14" s="8"/>
    </row>
    <row r="15" spans="1:8" x14ac:dyDescent="0.3">
      <c r="A15" s="8" t="s">
        <v>11</v>
      </c>
      <c r="B15" s="12">
        <f>SUMIFS($E$6:$E$11,$B$6:$B$11,"Ativo")</f>
        <v>25300</v>
      </c>
      <c r="C15" s="12">
        <f>SUMIFS($F$6:$F$11,$B$6:$B$11,"Ativo")</f>
        <v>70000</v>
      </c>
      <c r="D15" s="8"/>
      <c r="E15" s="8"/>
      <c r="F15" s="8"/>
      <c r="G15" s="8"/>
      <c r="H15" s="8"/>
    </row>
    <row r="16" spans="1:8" x14ac:dyDescent="0.3">
      <c r="A16" s="8" t="s">
        <v>24</v>
      </c>
      <c r="B16" s="12">
        <f>SUMIFS($E$6:$E$11,$B$6:$B$11,"Passivo")</f>
        <v>0</v>
      </c>
      <c r="C16" s="12">
        <f>SUMIFS($F$6:$F$11,$B$6:$B$11,"Passivo")</f>
        <v>20000</v>
      </c>
      <c r="D16" s="8"/>
      <c r="E16" s="8"/>
      <c r="F16" s="8"/>
      <c r="G16" s="8"/>
      <c r="H16" s="8"/>
    </row>
    <row r="17" spans="1:8" x14ac:dyDescent="0.3">
      <c r="A17" s="13" t="s">
        <v>25</v>
      </c>
      <c r="B17" s="14">
        <f>B15-B16</f>
        <v>25300</v>
      </c>
      <c r="C17" s="14">
        <f>C15-C16</f>
        <v>50000</v>
      </c>
      <c r="D17" s="8"/>
      <c r="E17" s="8"/>
      <c r="F17" s="8"/>
      <c r="G17" s="8"/>
      <c r="H17" s="8"/>
    </row>
    <row r="18" spans="1:8" x14ac:dyDescent="0.3">
      <c r="A18" s="15" t="str">
        <f>"O risco dominante do balanço mora no fator "&amp;IF(C17&gt;B17,"SPREAD","JUROS")&amp;" — R$ "&amp;TEXT(MAX(B17,C17)/1000,"#.##0,0")&amp;" mil/bp contra R$ "&amp;TEXT(MIN(B17,C17)/1000,"#.##0,0")&amp;" mil/bp."</f>
        <v>O risco dominante do balanço mora no fator SPREAD — R$ 50,0 mil/bp contra R$ 25,3 mil/bp.</v>
      </c>
      <c r="B18" s="8"/>
      <c r="C18" s="8"/>
      <c r="D18" s="8"/>
      <c r="E18" s="8"/>
      <c r="F18" s="8"/>
      <c r="G18" s="8"/>
      <c r="H18" s="8"/>
    </row>
    <row r="19" spans="1:8" x14ac:dyDescent="0.3">
      <c r="A19" s="16" t="str">
        <f>"Own credit: o abatimento de R$ "&amp;TEXT(C16/1000,"#.##0,0")&amp;" mil/bp na coluna de spread vem da LF emitida — o banco está vendido no próprio crédito. Economicamente real, contabilmente controverso."</f>
        <v>Own credit: o abatimento de R$ 20,0 mil/bp na coluna de spread vem da LF emitida — o banco está vendido no próprio crédito. Economicamente real, contabilmente controverso.</v>
      </c>
      <c r="B19" s="8"/>
      <c r="C19" s="8"/>
      <c r="D19" s="8"/>
      <c r="E19" s="8"/>
      <c r="F19" s="8"/>
      <c r="G19" s="8"/>
      <c r="H19" s="8"/>
    </row>
    <row r="20" spans="1:8" x14ac:dyDescent="0.3">
      <c r="A20" s="8"/>
      <c r="B20" s="8"/>
      <c r="C20" s="8"/>
      <c r="D20" s="8"/>
      <c r="E20" s="8"/>
      <c r="F20" s="8"/>
      <c r="G20" s="8"/>
      <c r="H20" s="8"/>
    </row>
    <row r="21" spans="1:8" ht="15.6" x14ac:dyDescent="0.3">
      <c r="A21" s="10" t="s">
        <v>26</v>
      </c>
      <c r="B21" s="8"/>
      <c r="C21" s="8"/>
      <c r="D21" s="8"/>
      <c r="E21" s="8"/>
      <c r="F21" s="8"/>
      <c r="G21" s="8"/>
      <c r="H21" s="8"/>
    </row>
    <row r="22" spans="1:8" x14ac:dyDescent="0.3">
      <c r="A22" s="11" t="s">
        <v>27</v>
      </c>
      <c r="B22" s="11" t="s">
        <v>28</v>
      </c>
      <c r="C22" s="11" t="s">
        <v>29</v>
      </c>
      <c r="D22" s="11" t="s">
        <v>30</v>
      </c>
      <c r="E22" s="11" t="s">
        <v>31</v>
      </c>
      <c r="F22" s="11" t="s">
        <v>32</v>
      </c>
      <c r="G22" s="11" t="s">
        <v>33</v>
      </c>
      <c r="H22" s="11" t="s">
        <v>34</v>
      </c>
    </row>
    <row r="23" spans="1:8" x14ac:dyDescent="0.3">
      <c r="A23" s="8" t="s">
        <v>35</v>
      </c>
      <c r="B23" s="31">
        <v>0</v>
      </c>
      <c r="C23" s="12">
        <f>SUMIFS($E$6:$E$11,$C$6:$C$11,$B23,$B$6:$B$11,"Ativo")</f>
        <v>0</v>
      </c>
      <c r="D23" s="12">
        <f>-SUMIFS($E$6:$E$11,$C$6:$C$11,$B23,$B$6:$B$11,"Passivo")</f>
        <v>0</v>
      </c>
      <c r="E23" s="12">
        <f>C23+D23</f>
        <v>0</v>
      </c>
      <c r="F23" s="12">
        <f>SUMIFS($F$6:$F$11,$C$6:$C$11,$B23,$B$6:$B$11,"Ativo")</f>
        <v>0</v>
      </c>
      <c r="G23" s="12">
        <f>-SUMIFS($F$6:$F$11,$C$6:$C$11,$B23,$B$6:$B$11,"Passivo")</f>
        <v>0</v>
      </c>
      <c r="H23" s="12">
        <f>F23+G23</f>
        <v>0</v>
      </c>
    </row>
    <row r="24" spans="1:8" x14ac:dyDescent="0.3">
      <c r="A24" s="8" t="s">
        <v>36</v>
      </c>
      <c r="B24" s="31">
        <v>252</v>
      </c>
      <c r="C24" s="12">
        <f t="shared" ref="C24:C26" si="0">SUMIFS($E$6:$E$11,$C$6:$C$11,$B24,$B$6:$B$11,"Ativo")</f>
        <v>8800</v>
      </c>
      <c r="D24" s="12">
        <f t="shared" ref="D24:D26" si="1">-SUMIFS($E$6:$E$11,$C$6:$C$11,$B24,$B$6:$B$11,"Passivo")</f>
        <v>0</v>
      </c>
      <c r="E24" s="12">
        <f t="shared" ref="E24:E26" si="2">C24+D24</f>
        <v>8800</v>
      </c>
      <c r="F24" s="12">
        <f t="shared" ref="F24:F26" si="3">SUMIFS($F$6:$F$11,$C$6:$C$11,$B24,$B$6:$B$11,"Ativo")</f>
        <v>0</v>
      </c>
      <c r="G24" s="12">
        <f t="shared" ref="G24:G26" si="4">-SUMIFS($F$6:$F$11,$C$6:$C$11,$B24,$B$6:$B$11,"Passivo")</f>
        <v>0</v>
      </c>
      <c r="H24" s="12">
        <f t="shared" ref="H24:H26" si="5">F24+G24</f>
        <v>0</v>
      </c>
    </row>
    <row r="25" spans="1:8" x14ac:dyDescent="0.3">
      <c r="A25" s="8" t="s">
        <v>37</v>
      </c>
      <c r="B25" s="31">
        <v>504</v>
      </c>
      <c r="C25" s="12">
        <f t="shared" si="0"/>
        <v>16500</v>
      </c>
      <c r="D25" s="12">
        <f t="shared" si="1"/>
        <v>0</v>
      </c>
      <c r="E25" s="12">
        <f t="shared" si="2"/>
        <v>16500</v>
      </c>
      <c r="F25" s="12">
        <f t="shared" si="3"/>
        <v>20000</v>
      </c>
      <c r="G25" s="12">
        <f t="shared" si="4"/>
        <v>-20000</v>
      </c>
      <c r="H25" s="12">
        <f t="shared" si="5"/>
        <v>0</v>
      </c>
    </row>
    <row r="26" spans="1:8" x14ac:dyDescent="0.3">
      <c r="A26" s="8" t="s">
        <v>38</v>
      </c>
      <c r="B26" s="31">
        <v>1260</v>
      </c>
      <c r="C26" s="12">
        <f t="shared" si="0"/>
        <v>0</v>
      </c>
      <c r="D26" s="12">
        <f t="shared" si="1"/>
        <v>0</v>
      </c>
      <c r="E26" s="12">
        <f t="shared" si="2"/>
        <v>0</v>
      </c>
      <c r="F26" s="12">
        <f t="shared" si="3"/>
        <v>50000</v>
      </c>
      <c r="G26" s="12">
        <f t="shared" si="4"/>
        <v>0</v>
      </c>
      <c r="H26" s="12">
        <f t="shared" si="5"/>
        <v>50000</v>
      </c>
    </row>
    <row r="27" spans="1:8" x14ac:dyDescent="0.3">
      <c r="A27" s="8" t="s">
        <v>39</v>
      </c>
      <c r="B27" s="8"/>
      <c r="C27" s="12">
        <f t="shared" ref="C27:H27" si="6">SUM(C23:C26)</f>
        <v>25300</v>
      </c>
      <c r="D27" s="12">
        <f t="shared" si="6"/>
        <v>0</v>
      </c>
      <c r="E27" s="12">
        <f t="shared" si="6"/>
        <v>25300</v>
      </c>
      <c r="F27" s="12">
        <f t="shared" si="6"/>
        <v>70000</v>
      </c>
      <c r="G27" s="12">
        <f t="shared" si="6"/>
        <v>-20000</v>
      </c>
      <c r="H27" s="12">
        <f t="shared" si="6"/>
        <v>50000</v>
      </c>
    </row>
    <row r="28" spans="1:8" x14ac:dyDescent="0.3">
      <c r="A28" s="16" t="str">
        <f>IF(AND(ROUND(E27-B17,6)=0,ROUND(H27-C17,6)=0),"✔ O perfil por vértice fecha com os totais por fator (soma dos buckets = total).","⚠ Divergência entre buckets e totais — revise as entradas.")</f>
        <v>✔ O perfil por vértice fecha com os totais por fator (soma dos buckets = total).</v>
      </c>
      <c r="B28" s="8"/>
      <c r="C28" s="8"/>
      <c r="D28" s="8"/>
      <c r="E28" s="8"/>
      <c r="F28" s="8"/>
      <c r="G28" s="8"/>
      <c r="H28" s="8"/>
    </row>
    <row r="29" spans="1:8" x14ac:dyDescent="0.3">
      <c r="A29" s="8"/>
      <c r="B29" s="8"/>
      <c r="C29" s="8"/>
      <c r="D29" s="8"/>
      <c r="E29" s="8"/>
      <c r="F29" s="8"/>
      <c r="G29" s="8"/>
      <c r="H29" s="8"/>
    </row>
    <row r="30" spans="1:8" ht="15.6" x14ac:dyDescent="0.3">
      <c r="A30" s="10" t="s">
        <v>40</v>
      </c>
      <c r="B30" s="8"/>
      <c r="C30" s="8"/>
      <c r="D30" s="8"/>
      <c r="E30" s="8"/>
      <c r="F30" s="8"/>
      <c r="G30" s="8"/>
      <c r="H30" s="8"/>
    </row>
    <row r="31" spans="1:8" x14ac:dyDescent="0.3">
      <c r="A31" s="11" t="s">
        <v>41</v>
      </c>
      <c r="B31" s="11" t="s">
        <v>42</v>
      </c>
      <c r="C31" s="11" t="s">
        <v>43</v>
      </c>
      <c r="D31" s="37" t="s">
        <v>53</v>
      </c>
      <c r="E31" s="37"/>
      <c r="F31" s="37"/>
      <c r="G31" s="37"/>
      <c r="H31" s="37"/>
    </row>
    <row r="32" spans="1:8" ht="31.95" customHeight="1" x14ac:dyDescent="0.3">
      <c r="A32" s="8" t="s">
        <v>44</v>
      </c>
      <c r="B32" s="22">
        <v>100</v>
      </c>
      <c r="C32" s="12">
        <f>-$B$17*B32/1000</f>
        <v>-2530</v>
      </c>
      <c r="D32" s="38" t="str">
        <f>"Paralelo de "&amp;TEXT(B32,"#.##0")&amp;" bps sobre o DV01 de juros líquido (R$ "&amp;TEXT($B$17,"#.##0")&amp;"/bp): o balanço "&amp;IF(C32&lt;0,"perde","ganha")&amp;" R$ "&amp;TEXT(ABS(C32),"#.##0")&amp;" mil — estar comprado em "&amp;TEXT($B$17/1000,"#.##0,0")&amp;" mil de DV01 é perder isso por ponto-base de alta."</f>
        <v>Paralelo de 100 bps sobre o DV01 de juros líquido (R$ 25.300/bp): o balanço perde R$ 2.530 mil — estar comprado em 25,3 mil de DV01 é perder isso por ponto-base de alta.</v>
      </c>
      <c r="E32" s="38"/>
      <c r="F32" s="38"/>
      <c r="G32" s="38"/>
      <c r="H32" s="38"/>
    </row>
    <row r="33" spans="1:8" ht="31.95" customHeight="1" x14ac:dyDescent="0.3">
      <c r="A33" s="8" t="s">
        <v>45</v>
      </c>
      <c r="B33" s="22">
        <v>30</v>
      </c>
      <c r="C33" s="12">
        <f>-$E$25*B33/1000</f>
        <v>-495</v>
      </c>
      <c r="D33" s="38" t="str">
        <f>"Key rate do 504 du (R$ "&amp;TEXT($E$25,"#.##0")&amp;"/bp) × "&amp;TEXT(B33,"#.##0")&amp;" bps: perda de R$ "&amp;TEXT(ABS(C33),"#.##0")&amp;" mil. Responde-se com o bucket, não com o DV01 total."</f>
        <v>Key rate do 504 du (R$ 16.500/bp) × 30 bps: perda de R$ 495 mil. Responde-se com o bucket, não com o DV01 total.</v>
      </c>
      <c r="E33" s="38"/>
      <c r="F33" s="38"/>
      <c r="G33" s="38"/>
      <c r="H33" s="38"/>
    </row>
    <row r="34" spans="1:8" ht="31.95" customHeight="1" x14ac:dyDescent="0.3">
      <c r="A34" s="8" t="s">
        <v>46</v>
      </c>
      <c r="B34" s="22">
        <v>50</v>
      </c>
      <c r="C34" s="12">
        <f>-$C$17*B34/1000</f>
        <v>-2500</v>
      </c>
      <c r="D34" s="39" t="str">
        <f>"DV01 de spread líquido (R$ "&amp;TEXT($C$17,"#.##0")&amp;"/bp) × "&amp;TEXT(B34,"#.##0")&amp;" bps: COPOM parado e o balanço "&amp;IF(C34&lt;0,"perde","ganha")&amp;" R$ "&amp;TEXT(ABS(C34),"#.##0")&amp;" mil — o risco que a palavra 'pós-fixado' escondia."</f>
        <v>DV01 de spread líquido (R$ 50.000/bp) × 50 bps: COPOM parado e o balanço perde R$ 2.500 mil — o risco que a palavra 'pós-fixado' escondia.</v>
      </c>
      <c r="E34" s="39"/>
      <c r="F34" s="39"/>
      <c r="G34" s="39"/>
      <c r="H34" s="39"/>
    </row>
    <row r="35" spans="1:8" ht="31.95" customHeight="1" x14ac:dyDescent="0.3">
      <c r="A35" s="8" t="s">
        <v>152</v>
      </c>
      <c r="B35" s="22">
        <v>30</v>
      </c>
      <c r="C35" s="12">
        <f>-$G$25*B35/1000</f>
        <v>600</v>
      </c>
      <c r="D35" s="38" t="str">
        <f>"Spread do passivo no 504 du (R$ "&amp;TEXT(-$G$25,"#.##0")&amp;"/bp) × "&amp;TEXT(B35,"#.##0")&amp;" bps: a LF emitida vale menos e o patrimônio econômico ganha R$ "&amp;TEXT(C35,"#.##0")&amp;" mil — a favor. Economicamente real, contabilmente controverso."</f>
        <v>Spread do passivo no 504 du (R$ 20.000/bp) × 30 bps: a LF emitida vale menos e o patrimônio econômico ganha R$ 600 mil — a favor. Economicamente real, contabilmente controverso.</v>
      </c>
      <c r="E35" s="38"/>
      <c r="F35" s="38"/>
      <c r="G35" s="38"/>
      <c r="H35" s="38"/>
    </row>
    <row r="36" spans="1:8" x14ac:dyDescent="0.3">
      <c r="A36" s="8"/>
      <c r="B36" s="8"/>
      <c r="C36" s="8"/>
      <c r="D36" s="8"/>
      <c r="E36" s="8"/>
      <c r="F36" s="8"/>
      <c r="G36" s="8"/>
      <c r="H36" s="8"/>
    </row>
    <row r="37" spans="1:8" x14ac:dyDescent="0.3">
      <c r="A37" s="19" t="s">
        <v>47</v>
      </c>
      <c r="B37" s="8"/>
      <c r="C37" s="8"/>
      <c r="D37" s="8"/>
      <c r="E37" s="8"/>
      <c r="F37" s="8"/>
      <c r="G37" s="8"/>
      <c r="H37" s="8"/>
    </row>
    <row r="38" spans="1:8" ht="27" x14ac:dyDescent="0.3">
      <c r="A38" s="11" t="s">
        <v>27</v>
      </c>
      <c r="B38" s="11" t="s">
        <v>48</v>
      </c>
      <c r="C38" s="11" t="s">
        <v>49</v>
      </c>
      <c r="D38" s="11" t="s">
        <v>50</v>
      </c>
      <c r="E38" s="11" t="s">
        <v>51</v>
      </c>
      <c r="F38" s="8"/>
      <c r="G38" s="8"/>
      <c r="H38" s="8"/>
    </row>
    <row r="39" spans="1:8" x14ac:dyDescent="0.3">
      <c r="A39" s="8" t="str">
        <f>A23</f>
        <v>overnight</v>
      </c>
      <c r="B39" s="22">
        <v>100</v>
      </c>
      <c r="C39" s="12">
        <f>-E23*B39/1000</f>
        <v>0</v>
      </c>
      <c r="D39" s="22">
        <v>0</v>
      </c>
      <c r="E39" s="12">
        <f>-H23*D39/1000</f>
        <v>0</v>
      </c>
      <c r="F39" s="8"/>
      <c r="G39" s="8"/>
      <c r="H39" s="8"/>
    </row>
    <row r="40" spans="1:8" x14ac:dyDescent="0.3">
      <c r="A40" s="8" t="str">
        <f>A24</f>
        <v>252 du</v>
      </c>
      <c r="B40" s="22">
        <v>100</v>
      </c>
      <c r="C40" s="12">
        <f t="shared" ref="C40:C42" si="7">-E24*B40/1000</f>
        <v>-880</v>
      </c>
      <c r="D40" s="22">
        <v>0</v>
      </c>
      <c r="E40" s="12">
        <f t="shared" ref="E40:E42" si="8">-H24*D40/1000</f>
        <v>0</v>
      </c>
      <c r="F40" s="8"/>
      <c r="G40" s="8"/>
      <c r="H40" s="8"/>
    </row>
    <row r="41" spans="1:8" x14ac:dyDescent="0.3">
      <c r="A41" s="8" t="str">
        <f>A25</f>
        <v>504 du</v>
      </c>
      <c r="B41" s="22">
        <v>-50</v>
      </c>
      <c r="C41" s="12">
        <f t="shared" si="7"/>
        <v>825</v>
      </c>
      <c r="D41" s="22">
        <v>0</v>
      </c>
      <c r="E41" s="12">
        <f t="shared" si="8"/>
        <v>0</v>
      </c>
      <c r="F41" s="8"/>
      <c r="G41" s="8"/>
      <c r="H41" s="8"/>
    </row>
    <row r="42" spans="1:8" x14ac:dyDescent="0.3">
      <c r="A42" s="8" t="str">
        <f>A26</f>
        <v>1.260 du</v>
      </c>
      <c r="B42" s="22">
        <v>-50</v>
      </c>
      <c r="C42" s="12">
        <f t="shared" si="7"/>
        <v>0</v>
      </c>
      <c r="D42" s="22">
        <v>0</v>
      </c>
      <c r="E42" s="12">
        <f t="shared" si="8"/>
        <v>0</v>
      </c>
      <c r="F42" s="8"/>
      <c r="G42" s="8"/>
      <c r="H42" s="8"/>
    </row>
    <row r="43" spans="1:8" x14ac:dyDescent="0.3">
      <c r="A43" s="8" t="s">
        <v>52</v>
      </c>
      <c r="B43" s="8"/>
      <c r="C43" s="12">
        <f>SUM(C39:C42)</f>
        <v>-55</v>
      </c>
      <c r="D43" s="8"/>
      <c r="E43" s="12">
        <f>SUM(E39:E42)</f>
        <v>0</v>
      </c>
      <c r="F43" s="36" t="str">
        <f>"P&amp;L total da deformação: R$ "&amp;TEXT(C43+E43,"#.##0")&amp;" mil (juros R$ "&amp;TEXT(C43,"#.##0")&amp;" mil + spread R$ "&amp;TEXT(E43,"#.##0")&amp;" mil) — duas contas, somadas só no P&amp;L, nunca no DV01."</f>
        <v>P&amp;L total da deformação: R$ -55 mil (juros R$ -55 mil + spread R$ 0 mil) — duas contas, somadas só no P&amp;L, nunca no DV01.</v>
      </c>
      <c r="G43" s="36"/>
      <c r="H43" s="36"/>
    </row>
    <row r="44" spans="1:8" x14ac:dyDescent="0.3">
      <c r="A44" s="8"/>
      <c r="B44" s="8"/>
      <c r="C44" s="8"/>
      <c r="D44" s="8"/>
      <c r="E44" s="8"/>
      <c r="F44" s="8"/>
      <c r="G44" s="8"/>
      <c r="H44" s="8"/>
    </row>
    <row r="45" spans="1:8" x14ac:dyDescent="0.3">
      <c r="A45" s="8"/>
      <c r="B45" s="8"/>
      <c r="C45" s="8"/>
      <c r="D45" s="8"/>
      <c r="E45" s="8"/>
      <c r="F45" s="8"/>
      <c r="G45" s="8"/>
      <c r="H45" s="8"/>
    </row>
    <row r="46" spans="1:8" x14ac:dyDescent="0.3">
      <c r="A46" s="19" t="s">
        <v>54</v>
      </c>
      <c r="B46" s="8"/>
      <c r="C46" s="8"/>
      <c r="D46" s="8"/>
      <c r="E46" s="8"/>
      <c r="F46" s="8"/>
      <c r="G46" s="8"/>
      <c r="H46" s="8"/>
    </row>
    <row r="47" spans="1:8" x14ac:dyDescent="0.3">
      <c r="A47" s="11" t="s">
        <v>27</v>
      </c>
      <c r="B47" s="11" t="s">
        <v>29</v>
      </c>
      <c r="C47" s="11" t="s">
        <v>30</v>
      </c>
      <c r="D47" s="11" t="s">
        <v>32</v>
      </c>
      <c r="E47" s="11" t="s">
        <v>33</v>
      </c>
      <c r="F47" s="8"/>
      <c r="G47" s="8"/>
      <c r="H47" s="8"/>
    </row>
    <row r="48" spans="1:8" x14ac:dyDescent="0.3">
      <c r="A48" s="8" t="str">
        <f>A23</f>
        <v>overnight</v>
      </c>
      <c r="B48" s="12">
        <f>C23</f>
        <v>0</v>
      </c>
      <c r="C48" s="12">
        <f>D23</f>
        <v>0</v>
      </c>
      <c r="D48" s="12">
        <f>F23</f>
        <v>0</v>
      </c>
      <c r="E48" s="12">
        <f>G23</f>
        <v>0</v>
      </c>
      <c r="F48" s="8"/>
      <c r="G48" s="8"/>
      <c r="H48" s="8"/>
    </row>
    <row r="49" spans="1:8" x14ac:dyDescent="0.3">
      <c r="A49" s="8" t="str">
        <f t="shared" ref="A49:A51" si="9">A24</f>
        <v>252 du</v>
      </c>
      <c r="B49" s="12">
        <f t="shared" ref="B49:C49" si="10">C24</f>
        <v>8800</v>
      </c>
      <c r="C49" s="12">
        <f t="shared" si="10"/>
        <v>0</v>
      </c>
      <c r="D49" s="12">
        <f t="shared" ref="D49:E49" si="11">F24</f>
        <v>0</v>
      </c>
      <c r="E49" s="12">
        <f t="shared" si="11"/>
        <v>0</v>
      </c>
      <c r="F49" s="8"/>
      <c r="G49" s="8"/>
      <c r="H49" s="8"/>
    </row>
    <row r="50" spans="1:8" x14ac:dyDescent="0.3">
      <c r="A50" s="8" t="str">
        <f t="shared" si="9"/>
        <v>504 du</v>
      </c>
      <c r="B50" s="12">
        <f t="shared" ref="B50:C50" si="12">C25</f>
        <v>16500</v>
      </c>
      <c r="C50" s="12">
        <f t="shared" si="12"/>
        <v>0</v>
      </c>
      <c r="D50" s="12">
        <f t="shared" ref="D50:E50" si="13">F25</f>
        <v>20000</v>
      </c>
      <c r="E50" s="12">
        <f t="shared" si="13"/>
        <v>-20000</v>
      </c>
      <c r="F50" s="8"/>
      <c r="G50" s="8"/>
      <c r="H50" s="8"/>
    </row>
    <row r="51" spans="1:8" x14ac:dyDescent="0.3">
      <c r="A51" s="8" t="str">
        <f t="shared" si="9"/>
        <v>1.260 du</v>
      </c>
      <c r="B51" s="12">
        <f t="shared" ref="B51:C51" si="14">C26</f>
        <v>0</v>
      </c>
      <c r="C51" s="12">
        <f t="shared" si="14"/>
        <v>0</v>
      </c>
      <c r="D51" s="12">
        <f t="shared" ref="D51:E51" si="15">F26</f>
        <v>50000</v>
      </c>
      <c r="E51" s="12">
        <f t="shared" si="15"/>
        <v>0</v>
      </c>
      <c r="F51" s="8"/>
      <c r="G51" s="8"/>
      <c r="H51" s="8"/>
    </row>
    <row r="52" spans="1:8" x14ac:dyDescent="0.3">
      <c r="A52" s="8"/>
      <c r="B52" s="8"/>
      <c r="C52" s="8"/>
      <c r="D52" s="8"/>
      <c r="E52" s="8"/>
      <c r="F52" s="8"/>
      <c r="G52" s="8"/>
      <c r="H52" s="8"/>
    </row>
    <row r="53" spans="1:8" x14ac:dyDescent="0.3">
      <c r="A53" s="8"/>
      <c r="B53" s="8"/>
      <c r="C53" s="8"/>
      <c r="D53" s="8"/>
      <c r="E53" s="8"/>
      <c r="F53" s="8"/>
      <c r="G53" s="8"/>
      <c r="H53" s="8"/>
    </row>
    <row r="54" spans="1:8" x14ac:dyDescent="0.3">
      <c r="A54" s="8"/>
      <c r="B54" s="8"/>
      <c r="C54" s="8"/>
      <c r="D54" s="8"/>
      <c r="E54" s="8"/>
      <c r="F54" s="8"/>
      <c r="G54" s="8"/>
      <c r="H54" s="8"/>
    </row>
    <row r="55" spans="1:8" x14ac:dyDescent="0.3">
      <c r="A55" s="8"/>
      <c r="B55" s="8"/>
      <c r="C55" s="8"/>
      <c r="D55" s="8"/>
      <c r="E55" s="8"/>
      <c r="F55" s="8"/>
      <c r="G55" s="8"/>
      <c r="H55" s="8"/>
    </row>
    <row r="56" spans="1:8" x14ac:dyDescent="0.3">
      <c r="A56" s="8"/>
      <c r="B56" s="8"/>
      <c r="C56" s="8"/>
      <c r="D56" s="8"/>
      <c r="E56" s="8"/>
      <c r="F56" s="8"/>
      <c r="G56" s="8"/>
      <c r="H56" s="8"/>
    </row>
    <row r="57" spans="1:8" x14ac:dyDescent="0.3">
      <c r="A57" s="8"/>
      <c r="B57" s="8"/>
      <c r="C57" s="8"/>
      <c r="D57" s="8"/>
      <c r="E57" s="8"/>
      <c r="F57" s="8"/>
      <c r="G57" s="8"/>
      <c r="H57" s="8"/>
    </row>
    <row r="58" spans="1:8" x14ac:dyDescent="0.3">
      <c r="A58" s="8"/>
      <c r="B58" s="8"/>
      <c r="C58" s="8"/>
      <c r="D58" s="8"/>
      <c r="E58" s="8"/>
      <c r="F58" s="8"/>
      <c r="G58" s="8"/>
      <c r="H58" s="8"/>
    </row>
    <row r="59" spans="1:8" x14ac:dyDescent="0.3">
      <c r="A59" s="8"/>
      <c r="B59" s="8"/>
      <c r="C59" s="8"/>
      <c r="D59" s="8"/>
      <c r="E59" s="8"/>
      <c r="F59" s="8"/>
      <c r="G59" s="8"/>
      <c r="H59" s="8"/>
    </row>
    <row r="60" spans="1:8" x14ac:dyDescent="0.3">
      <c r="A60" s="8"/>
      <c r="B60" s="8"/>
      <c r="C60" s="8"/>
      <c r="D60" s="8"/>
      <c r="E60" s="8"/>
      <c r="F60" s="8"/>
      <c r="G60" s="8"/>
      <c r="H60" s="8"/>
    </row>
  </sheetData>
  <sheetProtection sheet="1" objects="1" scenarios="1"/>
  <mergeCells count="6">
    <mergeCell ref="F43:H43"/>
    <mergeCell ref="D31:H31"/>
    <mergeCell ref="D32:H32"/>
    <mergeCell ref="D33:H33"/>
    <mergeCell ref="D34:H34"/>
    <mergeCell ref="D35:H35"/>
  </mergeCells>
  <conditionalFormatting sqref="C32:C35">
    <cfRule type="cellIs" dxfId="7" priority="1" operator="lessThan">
      <formula>0</formula>
    </cfRule>
    <cfRule type="cellIs" dxfId="6" priority="2" operator="greaterThan">
      <formula>0</formula>
    </cfRule>
  </conditionalFormatting>
  <conditionalFormatting sqref="C39:C43">
    <cfRule type="cellIs" dxfId="5" priority="3" operator="lessThan">
      <formula>0</formula>
    </cfRule>
    <cfRule type="cellIs" dxfId="4" priority="4" operator="greaterThan">
      <formula>0</formula>
    </cfRule>
  </conditionalFormatting>
  <conditionalFormatting sqref="E39:E43">
    <cfRule type="cellIs" dxfId="3" priority="5" operator="lessThan">
      <formula>0</formula>
    </cfRule>
    <cfRule type="cellIs" dxfId="2" priority="6" operator="greaterThan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AB994-7C91-41CD-881B-512B9058627E}">
  <dimension ref="A1:H20"/>
  <sheetViews>
    <sheetView showGridLines="0" workbookViewId="0">
      <selection activeCell="F3" sqref="F3"/>
    </sheetView>
  </sheetViews>
  <sheetFormatPr defaultRowHeight="14.4" outlineLevelRow="1" x14ac:dyDescent="0.3"/>
  <cols>
    <col min="1" max="1" width="27.77734375" customWidth="1"/>
    <col min="2" max="2" width="55.5546875" customWidth="1"/>
    <col min="3" max="4" width="20.33203125" customWidth="1"/>
    <col min="5" max="5" width="17.5546875" customWidth="1"/>
    <col min="6" max="6" width="55.5546875" customWidth="1"/>
    <col min="8" max="8" width="48.109375" customWidth="1"/>
  </cols>
  <sheetData>
    <row r="1" spans="1:8" ht="21" x14ac:dyDescent="0.4">
      <c r="A1" s="7" t="s">
        <v>55</v>
      </c>
      <c r="B1" s="8"/>
      <c r="C1" s="8"/>
      <c r="D1" s="8"/>
      <c r="E1" s="8"/>
      <c r="F1" s="8"/>
    </row>
    <row r="2" spans="1:8" x14ac:dyDescent="0.3">
      <c r="A2" s="9" t="s">
        <v>56</v>
      </c>
      <c r="B2" s="8"/>
      <c r="C2" s="8"/>
      <c r="D2" s="8"/>
      <c r="E2" s="8"/>
      <c r="F2" s="8"/>
    </row>
    <row r="3" spans="1:8" x14ac:dyDescent="0.3">
      <c r="A3" s="8"/>
      <c r="B3" s="8"/>
      <c r="C3" s="8"/>
      <c r="D3" s="8"/>
      <c r="E3" s="8"/>
      <c r="F3" s="8"/>
    </row>
    <row r="4" spans="1:8" x14ac:dyDescent="0.3">
      <c r="A4" s="17" t="s">
        <v>41</v>
      </c>
      <c r="B4" s="17" t="s">
        <v>57</v>
      </c>
      <c r="C4" s="17" t="s">
        <v>58</v>
      </c>
      <c r="D4" s="17" t="s">
        <v>59</v>
      </c>
      <c r="E4" s="17" t="s">
        <v>60</v>
      </c>
      <c r="F4" s="17" t="s">
        <v>61</v>
      </c>
    </row>
    <row r="5" spans="1:8" ht="42" customHeight="1" x14ac:dyDescent="0.3">
      <c r="A5" s="23" t="s">
        <v>62</v>
      </c>
      <c r="B5" s="24" t="s">
        <v>63</v>
      </c>
      <c r="C5" s="27"/>
      <c r="D5" s="14">
        <f>Simulador!B17</f>
        <v>25300</v>
      </c>
      <c r="E5" s="25" t="str">
        <f>IF(C5="","—",IF(ABS(C5-D5)&lt;=MAX(1,ABS(D5)/100),"✔ Correto","✘ Revise"))</f>
        <v>—</v>
      </c>
      <c r="F5" s="24" t="s">
        <v>64</v>
      </c>
    </row>
    <row r="6" spans="1:8" ht="42" customHeight="1" x14ac:dyDescent="0.3">
      <c r="A6" s="23" t="s">
        <v>65</v>
      </c>
      <c r="B6" s="24" t="s">
        <v>66</v>
      </c>
      <c r="C6" s="27"/>
      <c r="D6" s="14">
        <f>Simulador!C17</f>
        <v>50000</v>
      </c>
      <c r="E6" s="25" t="str">
        <f>IF(C6="","—",IF(ABS(C6-D6)&lt;=MAX(1,ABS(D6)/100),"✔ Correto","✘ Revise"))</f>
        <v>—</v>
      </c>
      <c r="F6" s="24" t="s">
        <v>67</v>
      </c>
    </row>
    <row r="7" spans="1:8" ht="42" customHeight="1" x14ac:dyDescent="0.3">
      <c r="A7" s="23" t="s">
        <v>68</v>
      </c>
      <c r="B7" s="24" t="s">
        <v>69</v>
      </c>
      <c r="C7" s="27"/>
      <c r="D7" s="14">
        <f>-Simulador!E25*Simulador!B33/1000</f>
        <v>-495</v>
      </c>
      <c r="E7" s="25" t="str">
        <f>IF(C7="","—",IF(ABS(C7-D7)&lt;=MAX(1,ABS(D7)/100),"✔ Correto","✘ Revise"))</f>
        <v>—</v>
      </c>
      <c r="F7" s="24" t="s">
        <v>70</v>
      </c>
    </row>
    <row r="8" spans="1:8" ht="42" customHeight="1" x14ac:dyDescent="0.3">
      <c r="A8" s="23" t="s">
        <v>71</v>
      </c>
      <c r="B8" s="24" t="s">
        <v>72</v>
      </c>
      <c r="C8" s="27"/>
      <c r="D8" s="14">
        <f>-Simulador!C17*Simulador!B34/1000</f>
        <v>-2500</v>
      </c>
      <c r="E8" s="25" t="str">
        <f>IF(C8="","—",IF(ABS(C8-D8)&lt;=MAX(1,ABS(D8)/100),"✔ Correto","✘ Revise"))</f>
        <v>—</v>
      </c>
      <c r="F8" s="24" t="s">
        <v>73</v>
      </c>
    </row>
    <row r="9" spans="1:8" ht="42" customHeight="1" x14ac:dyDescent="0.3">
      <c r="A9" s="23" t="s">
        <v>74</v>
      </c>
      <c r="B9" s="24" t="s">
        <v>75</v>
      </c>
      <c r="C9" s="27"/>
      <c r="D9" s="14">
        <f>-Simulador!G25*Simulador!B35/1000</f>
        <v>600</v>
      </c>
      <c r="E9" s="25" t="str">
        <f>IF(C9="","—",IF(ABS(C9-D9)&lt;=MAX(1,ABS(D9)/100),"✔ Correto","✘ Revise"))</f>
        <v>—</v>
      </c>
      <c r="F9" s="24" t="s">
        <v>76</v>
      </c>
      <c r="H9" s="34" t="s">
        <v>153</v>
      </c>
    </row>
    <row r="10" spans="1:8" ht="42" customHeight="1" x14ac:dyDescent="0.3">
      <c r="A10" s="23" t="s">
        <v>77</v>
      </c>
      <c r="B10" s="24" t="s">
        <v>78</v>
      </c>
      <c r="C10" s="28"/>
      <c r="D10" s="26" t="s">
        <v>79</v>
      </c>
      <c r="E10" s="25" t="str">
        <f>IF(C10="","—",IF(EXACT(TRIM(C10),TRIM(D10)),"✔ Correto","✘ Revise"))</f>
        <v>—</v>
      </c>
      <c r="F10" s="24" t="s">
        <v>80</v>
      </c>
      <c r="H10" s="35" t="s">
        <v>79</v>
      </c>
    </row>
    <row r="11" spans="1:8" ht="42" customHeight="1" x14ac:dyDescent="0.3">
      <c r="A11" s="23" t="s">
        <v>81</v>
      </c>
      <c r="B11" s="24" t="s">
        <v>82</v>
      </c>
      <c r="C11" s="28"/>
      <c r="D11" s="26" t="s">
        <v>83</v>
      </c>
      <c r="E11" s="25" t="str">
        <f>IF(C11="","—",IF(EXACT(TRIM(C11),TRIM(D11)),"✔ Correto","✘ Revise"))</f>
        <v>—</v>
      </c>
      <c r="F11" s="24" t="s">
        <v>84</v>
      </c>
      <c r="H11" s="35" t="s">
        <v>154</v>
      </c>
    </row>
    <row r="12" spans="1:8" x14ac:dyDescent="0.3">
      <c r="A12" s="8"/>
      <c r="B12" s="8"/>
      <c r="C12" s="8"/>
      <c r="D12" s="8"/>
      <c r="E12" s="8"/>
      <c r="F12" s="8"/>
      <c r="H12" s="35" t="s">
        <v>155</v>
      </c>
    </row>
    <row r="13" spans="1:8" outlineLevel="1" x14ac:dyDescent="0.3">
      <c r="A13" s="23" t="s">
        <v>85</v>
      </c>
      <c r="B13" s="8"/>
      <c r="C13" s="8"/>
      <c r="D13" s="8"/>
      <c r="E13" s="8"/>
      <c r="F13" s="8"/>
      <c r="H13" s="35" t="s">
        <v>156</v>
      </c>
    </row>
    <row r="14" spans="1:8" ht="70.05" customHeight="1" outlineLevel="1" x14ac:dyDescent="0.3">
      <c r="A14" s="18" t="s">
        <v>86</v>
      </c>
      <c r="B14" s="8"/>
      <c r="C14" s="8"/>
      <c r="D14" s="8"/>
      <c r="E14" s="8"/>
      <c r="F14" s="8"/>
    </row>
    <row r="15" spans="1:8" x14ac:dyDescent="0.3">
      <c r="A15" s="8"/>
      <c r="B15" s="8"/>
      <c r="C15" s="8"/>
      <c r="D15" s="8"/>
      <c r="E15" s="8"/>
      <c r="F15" s="8"/>
    </row>
    <row r="16" spans="1:8" x14ac:dyDescent="0.3">
      <c r="A16" s="8"/>
      <c r="B16" s="8"/>
      <c r="C16" s="8"/>
      <c r="D16" s="8"/>
      <c r="E16" s="8"/>
      <c r="F16" s="8"/>
    </row>
    <row r="17" spans="1:6" x14ac:dyDescent="0.3">
      <c r="A17" s="8"/>
      <c r="B17" s="8"/>
      <c r="C17" s="8"/>
      <c r="D17" s="8"/>
      <c r="E17" s="8"/>
      <c r="F17" s="8"/>
    </row>
    <row r="18" spans="1:6" x14ac:dyDescent="0.3">
      <c r="A18" s="8"/>
      <c r="B18" s="8"/>
      <c r="C18" s="8"/>
      <c r="D18" s="8"/>
      <c r="E18" s="8"/>
      <c r="F18" s="8"/>
    </row>
    <row r="19" spans="1:6" x14ac:dyDescent="0.3">
      <c r="A19" s="8"/>
      <c r="B19" s="8"/>
      <c r="C19" s="8"/>
      <c r="D19" s="8"/>
      <c r="E19" s="8"/>
      <c r="F19" s="8"/>
    </row>
    <row r="20" spans="1:6" x14ac:dyDescent="0.3">
      <c r="A20" s="8"/>
      <c r="B20" s="8"/>
      <c r="C20" s="8"/>
      <c r="D20" s="8"/>
      <c r="E20" s="8"/>
      <c r="F20" s="8"/>
    </row>
  </sheetData>
  <sheetProtection sheet="1" objects="1" scenarios="1"/>
  <conditionalFormatting sqref="E5:E11">
    <cfRule type="containsText" dxfId="1" priority="1" operator="containsText" text="Correto">
      <formula>NOT(ISERROR(SEARCH("Correto",E5)))</formula>
    </cfRule>
    <cfRule type="containsText" dxfId="0" priority="2" operator="containsText" text="Revise">
      <formula>NOT(ISERROR(SEARCH("Revise",E5)))</formula>
    </cfRule>
  </conditionalFormatting>
  <dataValidations count="2">
    <dataValidation type="list" allowBlank="1" showInputMessage="1" showErrorMessage="1" sqref="C11" xr:uid="{D8250921-2433-4AFD-B919-CAA1086DBCB4}">
      <formula1>"Porque o perfil por vértice decide qual deformação da curva machuca,Porque o DV01 muda com o tamanho da carteira,Porque a convexidade é sempre igual entre carteiras,Porque o prazo médio é irrelevante para o risco"</formula1>
    </dataValidation>
    <dataValidation type="list" allowBlank="1" showInputMessage="1" showErrorMessage="1" sqref="C10" xr:uid="{797B86A7-E3A0-46A8-A1D1-ED4A1F015BE6}">
      <formula1>$H$10:$H$13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CB66E-81BC-4597-81F3-77E5D299E142}">
  <dimension ref="A1:A81"/>
  <sheetViews>
    <sheetView showGridLines="0" workbookViewId="0">
      <selection activeCell="A3" sqref="A3"/>
    </sheetView>
  </sheetViews>
  <sheetFormatPr defaultRowHeight="14.4" x14ac:dyDescent="0.3"/>
  <cols>
    <col min="1" max="1" width="151.88671875" customWidth="1"/>
  </cols>
  <sheetData>
    <row r="1" spans="1:1" ht="189" x14ac:dyDescent="0.3">
      <c r="A1" s="1" t="s">
        <v>104</v>
      </c>
    </row>
    <row r="2" spans="1:1" x14ac:dyDescent="0.3">
      <c r="A2" s="29" t="s">
        <v>105</v>
      </c>
    </row>
    <row r="3" spans="1:1" x14ac:dyDescent="0.3">
      <c r="A3" s="30"/>
    </row>
    <row r="4" spans="1:1" x14ac:dyDescent="0.3">
      <c r="A4" s="30" t="s">
        <v>106</v>
      </c>
    </row>
    <row r="5" spans="1:1" x14ac:dyDescent="0.3">
      <c r="A5" s="30"/>
    </row>
    <row r="6" spans="1:1" ht="26.4" x14ac:dyDescent="0.3">
      <c r="A6" s="30" t="s">
        <v>107</v>
      </c>
    </row>
    <row r="7" spans="1:1" x14ac:dyDescent="0.3">
      <c r="A7" s="30"/>
    </row>
    <row r="8" spans="1:1" x14ac:dyDescent="0.3">
      <c r="A8" s="30" t="s">
        <v>108</v>
      </c>
    </row>
    <row r="9" spans="1:1" x14ac:dyDescent="0.3">
      <c r="A9" s="30"/>
    </row>
    <row r="10" spans="1:1" ht="26.4" x14ac:dyDescent="0.3">
      <c r="A10" s="30" t="s">
        <v>109</v>
      </c>
    </row>
    <row r="11" spans="1:1" x14ac:dyDescent="0.3">
      <c r="A11" s="30"/>
    </row>
    <row r="12" spans="1:1" ht="26.4" x14ac:dyDescent="0.3">
      <c r="A12" s="30" t="s">
        <v>110</v>
      </c>
    </row>
    <row r="13" spans="1:1" x14ac:dyDescent="0.3">
      <c r="A13" s="30"/>
    </row>
    <row r="14" spans="1:1" x14ac:dyDescent="0.3">
      <c r="A14" s="30" t="s">
        <v>111</v>
      </c>
    </row>
    <row r="15" spans="1:1" x14ac:dyDescent="0.3">
      <c r="A15" s="30"/>
    </row>
    <row r="16" spans="1:1" x14ac:dyDescent="0.3">
      <c r="A16" s="30" t="s">
        <v>112</v>
      </c>
    </row>
    <row r="17" spans="1:1" x14ac:dyDescent="0.3">
      <c r="A17" s="30"/>
    </row>
    <row r="18" spans="1:1" x14ac:dyDescent="0.3">
      <c r="A18" s="30" t="s">
        <v>113</v>
      </c>
    </row>
    <row r="19" spans="1:1" x14ac:dyDescent="0.3">
      <c r="A19" s="30"/>
    </row>
    <row r="20" spans="1:1" ht="26.4" x14ac:dyDescent="0.3">
      <c r="A20" s="30" t="s">
        <v>114</v>
      </c>
    </row>
    <row r="21" spans="1:1" x14ac:dyDescent="0.3">
      <c r="A21" s="30"/>
    </row>
    <row r="22" spans="1:1" x14ac:dyDescent="0.3">
      <c r="A22" s="30" t="s">
        <v>115</v>
      </c>
    </row>
    <row r="23" spans="1:1" x14ac:dyDescent="0.3">
      <c r="A23" s="30"/>
    </row>
    <row r="24" spans="1:1" x14ac:dyDescent="0.3">
      <c r="A24" s="30" t="s">
        <v>116</v>
      </c>
    </row>
    <row r="25" spans="1:1" x14ac:dyDescent="0.3">
      <c r="A25" s="30" t="s">
        <v>117</v>
      </c>
    </row>
    <row r="26" spans="1:1" x14ac:dyDescent="0.3">
      <c r="A26" s="30" t="s">
        <v>118</v>
      </c>
    </row>
    <row r="27" spans="1:1" x14ac:dyDescent="0.3">
      <c r="A27" s="30" t="s">
        <v>119</v>
      </c>
    </row>
    <row r="28" spans="1:1" ht="26.4" x14ac:dyDescent="0.3">
      <c r="A28" s="30" t="s">
        <v>120</v>
      </c>
    </row>
    <row r="29" spans="1:1" x14ac:dyDescent="0.3">
      <c r="A29" s="30" t="s">
        <v>121</v>
      </c>
    </row>
    <row r="30" spans="1:1" x14ac:dyDescent="0.3">
      <c r="A30" s="30" t="s">
        <v>122</v>
      </c>
    </row>
    <row r="31" spans="1:1" x14ac:dyDescent="0.3">
      <c r="A31" s="30"/>
    </row>
    <row r="32" spans="1:1" x14ac:dyDescent="0.3">
      <c r="A32" s="30" t="s">
        <v>123</v>
      </c>
    </row>
    <row r="33" spans="1:1" x14ac:dyDescent="0.3">
      <c r="A33" s="30"/>
    </row>
    <row r="34" spans="1:1" x14ac:dyDescent="0.3">
      <c r="A34" s="30" t="s">
        <v>124</v>
      </c>
    </row>
    <row r="35" spans="1:1" x14ac:dyDescent="0.3">
      <c r="A35" s="30" t="s">
        <v>125</v>
      </c>
    </row>
    <row r="36" spans="1:1" x14ac:dyDescent="0.3">
      <c r="A36" s="30" t="s">
        <v>126</v>
      </c>
    </row>
    <row r="37" spans="1:1" x14ac:dyDescent="0.3">
      <c r="A37" s="30"/>
    </row>
    <row r="38" spans="1:1" x14ac:dyDescent="0.3">
      <c r="A38" s="30" t="s">
        <v>127</v>
      </c>
    </row>
    <row r="39" spans="1:1" x14ac:dyDescent="0.3">
      <c r="A39" s="30" t="s">
        <v>128</v>
      </c>
    </row>
    <row r="40" spans="1:1" x14ac:dyDescent="0.3">
      <c r="A40" s="30"/>
    </row>
    <row r="41" spans="1:1" x14ac:dyDescent="0.3">
      <c r="A41" s="30" t="s">
        <v>129</v>
      </c>
    </row>
    <row r="42" spans="1:1" x14ac:dyDescent="0.3">
      <c r="A42" s="30" t="s">
        <v>130</v>
      </c>
    </row>
    <row r="43" spans="1:1" x14ac:dyDescent="0.3">
      <c r="A43" s="30"/>
    </row>
    <row r="44" spans="1:1" x14ac:dyDescent="0.3">
      <c r="A44" s="30" t="s">
        <v>131</v>
      </c>
    </row>
    <row r="45" spans="1:1" ht="26.4" x14ac:dyDescent="0.3">
      <c r="A45" s="30" t="s">
        <v>132</v>
      </c>
    </row>
    <row r="46" spans="1:1" x14ac:dyDescent="0.3">
      <c r="A46" s="30"/>
    </row>
    <row r="47" spans="1:1" x14ac:dyDescent="0.3">
      <c r="A47" s="30" t="s">
        <v>133</v>
      </c>
    </row>
    <row r="48" spans="1:1" ht="26.4" x14ac:dyDescent="0.3">
      <c r="A48" s="30" t="s">
        <v>134</v>
      </c>
    </row>
    <row r="49" spans="1:1" x14ac:dyDescent="0.3">
      <c r="A49" s="30"/>
    </row>
    <row r="50" spans="1:1" ht="26.4" x14ac:dyDescent="0.3">
      <c r="A50" s="30" t="s">
        <v>135</v>
      </c>
    </row>
    <row r="51" spans="1:1" x14ac:dyDescent="0.3">
      <c r="A51" s="30"/>
    </row>
    <row r="52" spans="1:1" x14ac:dyDescent="0.3">
      <c r="A52" s="30" t="s">
        <v>136</v>
      </c>
    </row>
    <row r="53" spans="1:1" ht="26.4" x14ac:dyDescent="0.3">
      <c r="A53" s="30" t="s">
        <v>137</v>
      </c>
    </row>
    <row r="54" spans="1:1" x14ac:dyDescent="0.3">
      <c r="A54" s="30"/>
    </row>
    <row r="55" spans="1:1" x14ac:dyDescent="0.3">
      <c r="A55" s="30" t="s">
        <v>138</v>
      </c>
    </row>
    <row r="56" spans="1:1" x14ac:dyDescent="0.3">
      <c r="A56" s="30"/>
    </row>
    <row r="57" spans="1:1" x14ac:dyDescent="0.3">
      <c r="A57" s="30" t="s">
        <v>139</v>
      </c>
    </row>
    <row r="58" spans="1:1" x14ac:dyDescent="0.3">
      <c r="A58" s="30"/>
    </row>
    <row r="59" spans="1:1" x14ac:dyDescent="0.3">
      <c r="A59" s="30" t="s">
        <v>140</v>
      </c>
    </row>
    <row r="60" spans="1:1" ht="26.4" x14ac:dyDescent="0.3">
      <c r="A60" s="30" t="s">
        <v>141</v>
      </c>
    </row>
    <row r="61" spans="1:1" ht="26.4" x14ac:dyDescent="0.3">
      <c r="A61" s="30" t="s">
        <v>142</v>
      </c>
    </row>
    <row r="62" spans="1:1" ht="26.4" x14ac:dyDescent="0.3">
      <c r="A62" s="30" t="s">
        <v>143</v>
      </c>
    </row>
    <row r="63" spans="1:1" ht="26.4" x14ac:dyDescent="0.3">
      <c r="A63" s="30" t="s">
        <v>144</v>
      </c>
    </row>
    <row r="64" spans="1:1" x14ac:dyDescent="0.3">
      <c r="A64" s="30"/>
    </row>
    <row r="65" spans="1:1" x14ac:dyDescent="0.3">
      <c r="A65" s="30" t="s">
        <v>145</v>
      </c>
    </row>
    <row r="66" spans="1:1" x14ac:dyDescent="0.3">
      <c r="A66" s="30"/>
    </row>
    <row r="67" spans="1:1" x14ac:dyDescent="0.3">
      <c r="A67" s="30" t="s">
        <v>146</v>
      </c>
    </row>
    <row r="68" spans="1:1" x14ac:dyDescent="0.3">
      <c r="A68" s="30"/>
    </row>
    <row r="69" spans="1:1" x14ac:dyDescent="0.3">
      <c r="A69" s="30" t="s">
        <v>147</v>
      </c>
    </row>
    <row r="70" spans="1:1" x14ac:dyDescent="0.3">
      <c r="A70" s="30"/>
    </row>
    <row r="71" spans="1:1" x14ac:dyDescent="0.3">
      <c r="A71" s="30" t="s">
        <v>148</v>
      </c>
    </row>
    <row r="72" spans="1:1" x14ac:dyDescent="0.3">
      <c r="A72" s="30" t="s">
        <v>149</v>
      </c>
    </row>
    <row r="73" spans="1:1" x14ac:dyDescent="0.3">
      <c r="A73" s="30" t="s">
        <v>150</v>
      </c>
    </row>
    <row r="74" spans="1:1" x14ac:dyDescent="0.3">
      <c r="A74" s="30" t="s">
        <v>151</v>
      </c>
    </row>
    <row r="75" spans="1:1" x14ac:dyDescent="0.3">
      <c r="A75" s="30"/>
    </row>
    <row r="76" spans="1:1" x14ac:dyDescent="0.3">
      <c r="A76" s="30"/>
    </row>
    <row r="77" spans="1:1" x14ac:dyDescent="0.3">
      <c r="A77" s="30"/>
    </row>
    <row r="78" spans="1:1" x14ac:dyDescent="0.3">
      <c r="A78" s="30"/>
    </row>
    <row r="79" spans="1:1" x14ac:dyDescent="0.3">
      <c r="A79" s="30"/>
    </row>
    <row r="80" spans="1:1" x14ac:dyDescent="0.3">
      <c r="A80" s="30"/>
    </row>
    <row r="81" spans="1:1" x14ac:dyDescent="0.3">
      <c r="A81" s="30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2026-08-13T17:40:29Z</dcterms:created>
  <dcterms:modified xsi:type="dcterms:W3CDTF">2026-10-02T21:41:41Z</dcterms:modified>
</cp:coreProperties>
</file>