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C6A8FD5B-B171-4136-B8E0-1238E6E7B407}" xr6:coauthVersionLast="47" xr6:coauthVersionMax="47" xr10:uidLastSave="{00000000-0000-0000-0000-000000000000}"/>
  <bookViews>
    <workbookView xWindow="-108" yWindow="-108" windowWidth="23256" windowHeight="12456" activeTab="2" xr2:uid="{3EE9CCF4-FFE8-4D73-9DD8-9699D5595844}"/>
  </bookViews>
  <sheets>
    <sheet name="Instruções" sheetId="2" r:id="rId1"/>
    <sheet name="Simulador" sheetId="3" r:id="rId2"/>
    <sheet name="Cenários" sheetId="4" r:id="rId3"/>
    <sheet name="Promp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7" i="3" l="1"/>
  <c r="Q8" i="3"/>
  <c r="Q9" i="3"/>
  <c r="Q10" i="3"/>
  <c r="Q11" i="3"/>
  <c r="Q12" i="3"/>
  <c r="Q13" i="3"/>
  <c r="Q14" i="3"/>
  <c r="Q15" i="3"/>
  <c r="Q16" i="3"/>
  <c r="Q17" i="3"/>
  <c r="Q18" i="3"/>
  <c r="Q6" i="3"/>
  <c r="E40" i="4"/>
  <c r="C36" i="4"/>
  <c r="E30" i="4"/>
  <c r="E29" i="4"/>
  <c r="E24" i="4"/>
  <c r="E23" i="4"/>
  <c r="E22" i="4"/>
  <c r="C24" i="4"/>
  <c r="C23" i="4"/>
  <c r="C22" i="4"/>
  <c r="B19" i="4"/>
  <c r="B18" i="4"/>
  <c r="E9" i="4"/>
  <c r="E8" i="4"/>
  <c r="E7" i="4"/>
  <c r="K8" i="3"/>
  <c r="K9" i="3" s="1"/>
  <c r="K10" i="3" s="1"/>
  <c r="K11" i="3" s="1"/>
  <c r="K12" i="3" s="1"/>
  <c r="K13" i="3" s="1"/>
  <c r="K14" i="3" s="1"/>
  <c r="K15" i="3" s="1"/>
  <c r="K16" i="3" s="1"/>
  <c r="K17" i="3" s="1"/>
  <c r="K18" i="3" s="1"/>
  <c r="K7" i="3"/>
  <c r="A54" i="3"/>
  <c r="B53" i="3"/>
  <c r="B52" i="3"/>
  <c r="B51" i="3"/>
  <c r="F47" i="3"/>
  <c r="H47" i="3" s="1"/>
  <c r="H46" i="3"/>
  <c r="F46" i="3"/>
  <c r="G46" i="3" s="1"/>
  <c r="F45" i="3"/>
  <c r="H45" i="3" s="1"/>
  <c r="H48" i="3" s="1"/>
  <c r="F48" i="3"/>
  <c r="D48" i="3"/>
  <c r="B48" i="3"/>
  <c r="F44" i="3"/>
  <c r="G44" i="3" s="1"/>
  <c r="A40" i="3"/>
  <c r="C39" i="3"/>
  <c r="B39" i="3"/>
  <c r="C38" i="3"/>
  <c r="B38" i="3"/>
  <c r="B37" i="3"/>
  <c r="B24" i="3"/>
  <c r="H12" i="3"/>
  <c r="E12" i="3"/>
  <c r="F12" i="3" s="1"/>
  <c r="G12" i="3" s="1"/>
  <c r="D12" i="3"/>
  <c r="D11" i="3"/>
  <c r="E11" i="3" s="1"/>
  <c r="F11" i="3" s="1"/>
  <c r="G11" i="3" s="1"/>
  <c r="H10" i="3"/>
  <c r="D10" i="3"/>
  <c r="E10" i="3" s="1"/>
  <c r="F10" i="3" s="1"/>
  <c r="H9" i="3"/>
  <c r="E9" i="3"/>
  <c r="F9" i="3" s="1"/>
  <c r="G9" i="3" s="1"/>
  <c r="D9" i="3"/>
  <c r="I44" i="3" l="1"/>
  <c r="I48" i="3" s="1"/>
  <c r="I45" i="3"/>
  <c r="I47" i="3"/>
  <c r="I46" i="3"/>
  <c r="G47" i="3"/>
  <c r="G45" i="3"/>
  <c r="H44" i="3"/>
  <c r="G10" i="3"/>
  <c r="G13" i="3" s="1"/>
  <c r="F13" i="3"/>
  <c r="B16" i="3" s="1"/>
  <c r="H11" i="3"/>
  <c r="H13" i="3" s="1"/>
  <c r="B20" i="3" l="1"/>
  <c r="B17" i="3"/>
  <c r="B18" i="3" s="1"/>
  <c r="M13" i="3" s="1"/>
  <c r="N14" i="3"/>
  <c r="M18" i="3"/>
  <c r="M10" i="3"/>
  <c r="N6" i="3"/>
  <c r="N17" i="3"/>
  <c r="N13" i="3"/>
  <c r="N9" i="3"/>
  <c r="M6" i="3"/>
  <c r="M17" i="3"/>
  <c r="M9" i="3"/>
  <c r="B27" i="3"/>
  <c r="B19" i="3"/>
  <c r="C9" i="4" s="1"/>
  <c r="N12" i="3"/>
  <c r="N8" i="3"/>
  <c r="M16" i="3"/>
  <c r="M12" i="3"/>
  <c r="M8" i="3"/>
  <c r="N7" i="3"/>
  <c r="C8" i="4"/>
  <c r="M11" i="3"/>
  <c r="M7" i="3"/>
  <c r="B29" i="3" a="1"/>
  <c r="B29" i="3" s="1"/>
  <c r="L18" i="3" a="1"/>
  <c r="L18" i="3" s="1"/>
  <c r="L10" i="3" a="1"/>
  <c r="L10" i="3" s="1"/>
  <c r="L14" i="3" a="1"/>
  <c r="L14" i="3" s="1"/>
  <c r="L6" i="3" a="1"/>
  <c r="L6" i="3" s="1"/>
  <c r="L13" i="3" a="1"/>
  <c r="L13" i="3" s="1"/>
  <c r="L9" i="3" a="1"/>
  <c r="L9" i="3" s="1"/>
  <c r="L12" i="3" a="1"/>
  <c r="L12" i="3" s="1"/>
  <c r="L8" i="3" a="1"/>
  <c r="L8" i="3" s="1"/>
  <c r="L7" i="3" a="1"/>
  <c r="L7" i="3" s="1"/>
  <c r="L17" i="3" a="1"/>
  <c r="L17" i="3" s="1"/>
  <c r="L16" i="3" a="1"/>
  <c r="L16" i="3" s="1"/>
  <c r="L11" i="3" a="1"/>
  <c r="L11" i="3" s="1"/>
  <c r="C7" i="4"/>
  <c r="L15" i="3" a="1"/>
  <c r="L15" i="3" s="1"/>
  <c r="G48" i="3"/>
  <c r="N16" i="3" l="1"/>
  <c r="M14" i="3"/>
  <c r="M15" i="3"/>
  <c r="N15" i="3"/>
  <c r="B28" i="3"/>
  <c r="N10" i="3"/>
  <c r="P10" i="3" s="1"/>
  <c r="S10" i="3" s="1"/>
  <c r="N11" i="3"/>
  <c r="N18" i="3"/>
  <c r="C29" i="3"/>
  <c r="O15" i="3"/>
  <c r="R15" i="3" s="1"/>
  <c r="P15" i="3"/>
  <c r="S15" i="3" s="1"/>
  <c r="O10" i="3"/>
  <c r="R10" i="3" s="1"/>
  <c r="O13" i="3"/>
  <c r="R13" i="3" s="1"/>
  <c r="P13" i="3"/>
  <c r="S13" i="3" s="1"/>
  <c r="P6" i="3"/>
  <c r="S6" i="3" s="1"/>
  <c r="O6" i="3"/>
  <c r="R6" i="3" s="1"/>
  <c r="O14" i="3"/>
  <c r="R14" i="3" s="1"/>
  <c r="P14" i="3"/>
  <c r="S14" i="3" s="1"/>
  <c r="O18" i="3"/>
  <c r="R18" i="3" s="1"/>
  <c r="P18" i="3"/>
  <c r="S18" i="3" s="1"/>
  <c r="O17" i="3"/>
  <c r="R17" i="3" s="1"/>
  <c r="P17" i="3"/>
  <c r="S17" i="3" s="1"/>
  <c r="O16" i="3"/>
  <c r="R16" i="3" s="1"/>
  <c r="P16" i="3"/>
  <c r="S16" i="3" s="1"/>
  <c r="O7" i="3"/>
  <c r="R7" i="3" s="1"/>
  <c r="P7" i="3"/>
  <c r="S7" i="3" s="1"/>
  <c r="O8" i="3"/>
  <c r="R8" i="3" s="1"/>
  <c r="P8" i="3"/>
  <c r="S8" i="3" s="1"/>
  <c r="C28" i="3"/>
  <c r="A31" i="3" s="1"/>
  <c r="O11" i="3"/>
  <c r="R11" i="3" s="1"/>
  <c r="P11" i="3"/>
  <c r="S11" i="3" s="1"/>
  <c r="O12" i="3"/>
  <c r="R12" i="3" s="1"/>
  <c r="P12" i="3"/>
  <c r="S12" i="3" s="1"/>
  <c r="O9" i="3"/>
  <c r="R9" i="3" s="1"/>
  <c r="P9" i="3"/>
  <c r="S9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<sst xmlns="http://schemas.openxmlformats.org/spreadsheetml/2006/main" count="204" uniqueCount="194">
  <si>
    <t>Simulador 8 · Duration e Convexidade — do fluxo ao book</t>
  </si>
  <si>
    <t>Módulo 4 · Bloco 2 — ΔPU ≈ −MD·Δi + ½·C·(Δi)²  |  a reta é o DV01; a parábola é a convexidade que a corrige. Dados ilustrativos.</t>
  </si>
  <si>
    <t>PARTE A — A NTN-F de 504 du, calculada do zero</t>
  </si>
  <si>
    <t>TIR do papel (y, a.a. base 252 — curva flat na TIR)</t>
  </si>
  <si>
    <t>Valor de mercado da posição (R$ mi)</t>
  </si>
  <si>
    <t>Fluxo</t>
  </si>
  <si>
    <t>CF (R$)</t>
  </si>
  <si>
    <t>du</t>
  </si>
  <si>
    <t>t (anos)</t>
  </si>
  <si>
    <t>DF</t>
  </si>
  <si>
    <t>PV (R$)</t>
  </si>
  <si>
    <t>PV × t</t>
  </si>
  <si>
    <t>CF·t(t+1)/(1+y)^(t+2)</t>
  </si>
  <si>
    <t>C1</t>
  </si>
  <si>
    <t>C2</t>
  </si>
  <si>
    <t>C3</t>
  </si>
  <si>
    <t>C4 + principal</t>
  </si>
  <si>
    <t>Total</t>
  </si>
  <si>
    <t>Resultados do título</t>
  </si>
  <si>
    <t>PU (R$)</t>
  </si>
  <si>
    <t>Duration de Macaulay (anos) = Σ PV·t / PU</t>
  </si>
  <si>
    <t>Duration modificada MD = D/(1+y)</t>
  </si>
  <si>
    <t>DV01 (R$/bp) = MD × valor × 0,0001</t>
  </si>
  <si>
    <t>Convexidade (anos²) = Σ CF·t(t+1)/(1+y)^(t+2) / PU</t>
  </si>
  <si>
    <t>PARTE A — A reta, a parábola e o exato</t>
  </si>
  <si>
    <t>Choque de juros (bps)</t>
  </si>
  <si>
    <t>Δi (decimal)</t>
  </si>
  <si>
    <t>Estimativa de ΔPU sobre a posição</t>
  </si>
  <si>
    <t>ΔPU (R$ mil)</t>
  </si>
  <si>
    <t>Diferença vs. linha anterior (R$ mil)</t>
  </si>
  <si>
    <t>1. Só a reta: −MD·Δi</t>
  </si>
  <si>
    <t>2. Reta + parábola: −MD·Δi + ½·C·Δi²</t>
  </si>
  <si>
    <t>3. Reapreçamento exato (PU recalculado com y+Δi)</t>
  </si>
  <si>
    <t>Referência ao material (informativa): na LTN de 252 du do M3, o mesmo choque de +200 bps deu reta ≈ −R$ 1.760 mil vs. exato ≈ −R$ 1.730 mil — sobra de ≈ R$ 30 mil, "exatamente o termo ½·C·Δi²" (valores arredondados).</t>
  </si>
  <si>
    <t>PARTE A — O quadrado do prazo (zero-cupons didáticos)</t>
  </si>
  <si>
    <t>Taxa única dos zero-cupons (a.a.)</t>
  </si>
  <si>
    <t>Prazo t (anos)</t>
  </si>
  <si>
    <t>Convexidade C = t(t+1)/(1+y)²</t>
  </si>
  <si>
    <t>Razão vs. linha anterior</t>
  </si>
  <si>
    <t>PARTE B — A carteira com números prontos (MDs e DV01s vindos do M3)</t>
  </si>
  <si>
    <t>Posição</t>
  </si>
  <si>
    <t>Valor (R$ mi)</t>
  </si>
  <si>
    <t>MD (dada)</t>
  </si>
  <si>
    <t>DV01 (R$/bp, dado)</t>
  </si>
  <si>
    <t>Convexidade (dada)</t>
  </si>
  <si>
    <t>Peso</t>
  </si>
  <si>
    <t>Peso × MD</t>
  </si>
  <si>
    <t>Peso × C</t>
  </si>
  <si>
    <t>Contrib. % da convexidade</t>
  </si>
  <si>
    <t>LTN 252</t>
  </si>
  <si>
    <t>NTN-F 504</t>
  </si>
  <si>
    <t>LFT 1.260</t>
  </si>
  <si>
    <t>LF 504</t>
  </si>
  <si>
    <t>Resultados da carteira</t>
  </si>
  <si>
    <t>DV01 da carteira (R$/bp) = Σ DV01 (soma em reais)</t>
  </si>
  <si>
    <t>Duration modificada da carteira = Σ peso × MD</t>
  </si>
  <si>
    <t>Convexidade da carteira (anos²) = Σ peso × C</t>
  </si>
  <si>
    <t>Lembrete dos dois fatores: as MDs ≈ 0 da LFT e da LF valem para JUROS. O spread corre em outro relógio — ver Simulador 7 (DV01 de juros vs. spread).</t>
  </si>
  <si>
    <t>Área auxiliar do gráfico — preço (base 100) × choque de taxa</t>
  </si>
  <si>
    <t>Choque (bps)</t>
  </si>
  <si>
    <t>Exato</t>
  </si>
  <si>
    <t>Reta tangente</t>
  </si>
  <si>
    <t>Reta + parábola</t>
  </si>
  <si>
    <t>Módulo 4 · Bloco 2 (com o ferramental do Módulo 3) — Instruções de uso</t>
  </si>
  <si>
    <t>1. O papel de cada medida</t>
  </si>
  <si>
    <t>Duration de Macaulay (anos): o centro de gravidade dos fluxos — o prazo médio ponderado pelo valor presente de cada pagamento.</t>
  </si>
  <si>
    <t>Duration modificada (MD = D / (1+y)): a sensibilidade percentual do preço a uma variação de taxa. É a inclinação da reta, em %.</t>
  </si>
  <si>
    <t>DV01 (R$/bp): a mesma sensibilidade, mas em reais por 1 basis point — MD × valor de mercado × 0,0001. É a linguagem da mesa.</t>
  </si>
  <si>
    <t>Convexidade (anos²): a correção da reta — a curvatura que o DV01, por ser linear, não captura.</t>
  </si>
  <si>
    <t>2. A correção de segunda ordem</t>
  </si>
  <si>
    <t>ΔPU ≈ −MD·Δi + ½·Convexidade·(Δi)²</t>
  </si>
  <si>
    <t>Leitura: o primeiro termo é a reta (o DV01); o segundo é a parábola que a corrige.</t>
  </si>
  <si>
    <t>3. As três propriedades da convexidade</t>
  </si>
  <si>
    <t>(i) Cresce com o quadrado do prazo — dobrar o prazo mais que dobra a convexidade.</t>
  </si>
  <si>
    <t>(ii) Agrega-se por ponderação de valor e é dominada pelos fluxos longos — uma posição pequena e longa pode responder pela maior parte da convexidade do book.</t>
  </si>
  <si>
    <t>(iii) É sempre a favor de quem está comprado — amortece a perda na alta de juros e turbina o ganho na queda.</t>
  </si>
  <si>
    <t>Consequência de carteira: quem quer convexidade compra prazo — e paga por ela (gancho para o Simulador 6).</t>
  </si>
  <si>
    <t>4. Convenções da Parte A</t>
  </si>
  <si>
    <t>Base 252 dias úteis, capitalização composta: t = du / 252 e DF = 1 / (1+y)^t.</t>
  </si>
  <si>
    <t>TIR única: a curva é tratada como flat na TIR do papel — convenção do curso para o título isolado.</t>
  </si>
  <si>
    <t>Convexidade discreta anual: C = [ Σ CF_t · t(t+1) / (1+y)^(t+2) ] / PU, com t em anos (du/252).</t>
  </si>
  <si>
    <t>5. Como usar</t>
  </si>
  <si>
    <t>Parte A (aba Simulador): edite apenas as células azuis — os CFs, os du, a TIR, o valor da posição, o choque em bps e a taxa dos zero-cupons. PU, durations, DV01 e convexidade saem do próprio fluxo.</t>
  </si>
  <si>
    <t>Parte B (aba Simulador): aqui quase nada é calculado do zero — os MDs e DV01s vêm prontos do Módulo 3 e são apenas agregados: DV01 soma; duration e convexidade ponderam pelo valor.</t>
  </si>
  <si>
    <t>Aba Cenários: responda nas células azuis; a verificação contra o gabarito por fórmula é automática.</t>
  </si>
  <si>
    <t>ARMADILHA DE MESA</t>
  </si>
  <si>
    <t>"O DV01 é uma reta tangente — medida local de 1 bp. Em choques grandes a reta se descola da curva verdadeira, sempre contra quem usa só a reta: superestima a perda na alta e subestima o ganho na queda."</t>
  </si>
  <si>
    <t>Aviso: todos os números são ilustrativos, com fins didáticos. Não constituem recomendação nem refletem preços de mercado.</t>
  </si>
  <si>
    <t>Cenários · Simulador 8 — Duration e Convexidade</t>
  </si>
  <si>
    <t>Responda nas células azuis. A verificação contra o gabarito (calculado por fórmula) é automática.</t>
  </si>
  <si>
    <t>CENÁRIO A — O título</t>
  </si>
  <si>
    <t>Com os fluxos default da NTN-F de 504 du (aba Simulador), informe o PU, a duration modificada e o DV01 por R$ 100 mi.</t>
  </si>
  <si>
    <t>Item</t>
  </si>
  <si>
    <t>Sua resposta</t>
  </si>
  <si>
    <t>Gabarito</t>
  </si>
  <si>
    <t>Tolerância</t>
  </si>
  <si>
    <t>Verificação</t>
  </si>
  <si>
    <t>Duration modificada (MD)</t>
  </si>
  <si>
    <t>DV01 (R$/bp, por R$ 100 mi)</t>
  </si>
  <si>
    <t>CENÁRIO B — A sobra do material</t>
  </si>
  <si>
    <t>LTN de 252 du a 13,00%, choque de +200 bps sobre R$ 100 mi: quanto estima a reta e quanto dá o reapreçamento exato? Qual a sobra?</t>
  </si>
  <si>
    <t>Premissas (azuis)</t>
  </si>
  <si>
    <t>Taxa da LTN (a.a.)</t>
  </si>
  <si>
    <t>Prazo (du)</t>
  </si>
  <si>
    <t>Valor da posição (R$ mi)</t>
  </si>
  <si>
    <t>t (anos) = du/252</t>
  </si>
  <si>
    <t>MD = t/(1+y)</t>
  </si>
  <si>
    <t>Item (R$ mil)</t>
  </si>
  <si>
    <t>Estimativa da reta (−MD·Δi)</t>
  </si>
  <si>
    <t>Reapreçamento exato</t>
  </si>
  <si>
    <t>Sobra (exato − reta)</t>
  </si>
  <si>
    <t>Nota: o material arredonda para −1.760 / −1.730 / 30 — ambas as faixas são aceitas dentro da tolerância de R$ 15 mil.</t>
  </si>
  <si>
    <t>CENÁRIO C — Identificação</t>
  </si>
  <si>
    <t>Na fórmula ΔPU ≈ −MD·Δi + ½·C·(Δi)², qual termo é o DV01 e qual é a convexidade? (Escolha na lista.)</t>
  </si>
  <si>
    <t>O DV01 está no...</t>
  </si>
  <si>
    <t>Gabarito: primeiro termo</t>
  </si>
  <si>
    <t>A convexidade está no...</t>
  </si>
  <si>
    <t>Gabarito: segundo termo</t>
  </si>
  <si>
    <t>CENÁRIO D — Agregação</t>
  </si>
  <si>
    <t>Por que o DV01 se soma e a duration se pondera? Escreva sua resposta na célula azul.</t>
  </si>
  <si>
    <t>Mostrar resposta-modelo? (digite SIM)</t>
  </si>
  <si>
    <t>CENÁRIO E — Sinal</t>
  </si>
  <si>
    <t>Um choque de −200 bps na NTN-F: o ganho exato é maior ou menor que o estimado pela reta? (Escolha na lista.)</t>
  </si>
  <si>
    <t>O ganho exato é...</t>
  </si>
  <si>
    <t>Gabarito: maior — a convexidade turbina a alta de preço (sempre a favor do comprado)</t>
  </si>
  <si>
    <t>Prompt utilizado para gerar este simulador</t>
  </si>
  <si>
    <t>Especificação integral · Simulador 8 — Duration e Convexidade · gerado em 13/08/2026</t>
  </si>
  <si>
    <t># Spec — Simulador 8 · Duration e Convexidade (do fluxo ao book)</t>
  </si>
  <si>
    <t>&gt; **Prompt para o Claude for Excel.** Crie um arquivo `Simulador_8_Duration_Convexidade.xlsx` seguindo integralmente esta especificação. Ao final, cole o texto completo deste documento na aba "Prompt".</t>
  </si>
  <si>
    <t>## 1. Contexto e objetivo</t>
  </si>
  <si>
    <t>Simulador do Módulo 4, Bloco 2 (com base no ferramental do Módulo 3). Abordagem **híbrida**, em duas partes:</t>
  </si>
  <si>
    <t>- **Parte A — um título calculado do zero**: a NTN-F de 504 du, fluxo a fluxo (PV, PU, Macaulay, duration modificada, DV01, convexidade) e a correção de segunda ordem contra o reapreçamento exato;</t>
  </si>
  <si>
    <t>- **Parte B — a carteira com números prontos**: agregação das quatro posições do caso com os MDs/DV01s dados pelo material ("quase nada é calculado do zero: os DV01s vêm prontos do M3 e aqui são agregados").</t>
  </si>
  <si>
    <t>Fórmula central: `ΔPU ≈ −MD·Δi + ½·Convexidade·(Δi)²` — *"o primeiro termo é a reta (o DV01); o segundo é a parábola que a corrige."* Três propriedades da convexidade: cresce com o quadrado do prazo; agrega-se por ponderação de valor, dominada pelos fluxos longos; é sempre a favor de quem está comprado.</t>
  </si>
  <si>
    <t>## 2. Estrutura do arquivo (4 abas, nesta ordem)</t>
  </si>
  <si>
    <t>1. **Instruções** · 2. **Simulador** · 3. **Cenários** · 4. **Prompt**</t>
  </si>
  <si>
    <t>## 3. Convenções visuais</t>
  </si>
  <si>
    <t>Padrão do curso: fundo branco, Arial, títulos `#002C4D`, texto `#202427`, resultados `#0C63AA`, inputs `#DCE9F5` desbloqueados, resto bloqueado (proteção sem senha). PU com 2 casas; durations com 2–4 casas conforme indicado; convexidade com 2 casas; P&amp;L em R$ mil.</t>
  </si>
  <si>
    <t>## 4. Aba "Instruções"</t>
  </si>
  <si>
    <t>- O papel de cada medida: duration de Macaulay (centro de gravidade dos fluxos, em anos), duration modificada (sensibilidade percentual, `MD = D/(1+y)`), DV01 (a mesma sensibilidade em reais por bp) e convexidade (a correção da reta).</t>
  </si>
  <si>
    <t>- A fórmula da correção de segunda ordem, com a leitura reta × parábola.</t>
  </si>
  <si>
    <t>- As três propriedades da convexidade (acima), com a consequência de carteira: quem quer convexidade compra prazo — e paga por ela (gancho para o Simulador 6).</t>
  </si>
  <si>
    <t>- Convenções da Parte A: base 252 composta; TIR única (yield curve flat na TIR do papel — convenção do curso para o título isolado); convexidade discreta anual `C = [Σ CF_t · t(t+1)/(1+y)^(t+2)] / PU`, com t em anos (du/252).</t>
  </si>
  <si>
    <t>- **Armadilha de mesa** (caixa destacada): *"O DV01 é uma reta tangente — medida local de 1 bp. Em choques grandes a reta se descola da curva verdadeira, sempre contra quem usa só a reta: superestima a perda na alta e subestima o ganho na queda."*</t>
  </si>
  <si>
    <t>- Aviso de dados ilustrativos.</t>
  </si>
  <si>
    <t>## 5. Aba "Simulador"</t>
  </si>
  <si>
    <t>### 5.1 Parte A — a NTN-F do zero (inputs azuis: fluxos, du e TIR)</t>
  </si>
  <si>
    <t>Tabela de fluxos com defaults do curso (cupom 10% a.a. ⇒ semestral R$ 48,81; TIR 13,02%):</t>
  </si>
  <si>
    <t>| Fluxo | CF (R$) | du | t (anos) | DF | PV | PV × t | CF·t(t+1)/(1+y)^(t+2) |</t>
  </si>
  <si>
    <t>|---|---|---|---|---|---|---|---|</t>
  </si>
  <si>
    <t>| C1 | 48,81 | 126 | 0,50 | calc | calc | calc | calc |</t>
  </si>
  <si>
    <t>| C2 | 48,81 | 252 | 1,00 | calc | calc | calc | calc |</t>
  </si>
  <si>
    <t>| C3 | 48,81 | 378 | 1,50 | calc | calc | calc | calc |</t>
  </si>
  <si>
    <t>| C4 + principal | 1.048,81 | 504 | 2,00 | calc | calc | calc | calc |</t>
  </si>
  <si>
    <t>Resultados (destaque): **PU ≈ 950,79** · **Macaulay ≈ 1,86 anos** (= Σ PV·t / PU) · **MD ≈ 1,65** (= D/(1+y)) · **DV01 (R$ 100 mi) ≈ R$ 16,5 mil/bp** (= MD × 100 mi × 0,0001) · **Convexidade ≈ 4,28 anos²**.</t>
  </si>
  <si>
    <t>### 5.2 Parte A — a reta, a parábola e o exato (input azul: choque em bps, default +200)</t>
  </si>
  <si>
    <t>Três linhas calculadas sobre R$ 100 mi (valor de mercado):</t>
  </si>
  <si>
    <t>1. **Só a reta**: `−MD·Δi × 100 mi`</t>
  </si>
  <si>
    <t>2. **Reta + parábola**: `(−MD·Δi + ½·C·Δi²) × 100 mi`</t>
  </si>
  <si>
    <t>3. **Reapreçamento exato**: recalcular o PU com TIR + Δi e tomar a variação percentual × 100 mi.</t>
  </si>
  <si>
    <t>Coluna de diferenças (2−1 e 3−2) em R$ mil e linha de leitura automática: *"a correção de convexidade recupera R$ X mil da estimativa da reta; o resíduo contra o exato é o termo de terceira ordem"*.</t>
  </si>
  <si>
    <t>- Célula de referência ao material (informativa): na LTN do M3, o mesmo choque de +200 bps deu reta ≈ −R$ 1.760 mil vs. exato ≈ −R$ 1.730 mil — sobra de ≈ R$ 30 mil, *"exatamente o termo ½·C·Δi²"* (valores do material, arredondados).</t>
  </si>
  <si>
    <t>### 5.3 Parte A — mini-tabela "o quadrado do prazo"</t>
  </si>
  <si>
    <t>Zero-cupons didáticos de 1, 2 e 4 anos à mesma taxa (input azul, default 13,00%): calcular C = t(t+1)/(1+y)² e mostrar que dobrar o prazo mais que dobra a convexidade (razões exibidas: C(2a)/C(1a) = 3×; C(4a)/C(2a) ≈ 3,3×).</t>
  </si>
  <si>
    <t>### 5.4 Parte B — a carteira com números prontos (inputs azuis: valores e MDs do material)</t>
  </si>
  <si>
    <t>| Posição | Valor (R$ mi) | MD (dada) | DV01 (R$/bp, dado) | Convexidade (dada, aprox.) |</t>
  </si>
  <si>
    <t>|---|---|---|---|---|</t>
  </si>
  <si>
    <t>| LTN 252 | 100 | 0,88 | 8.800 | 1,57 |</t>
  </si>
  <si>
    <t>| NTN-F 504 | 100 | 1,65 | 16.500 | 4,28 |</t>
  </si>
  <si>
    <t>| LFT 1.260 | 100 | ≈ 0 (juros) | ≈ 0 | ≈ 0 |</t>
  </si>
  <si>
    <t>| LF 504 | 100 | ≈ 0 (juros) | ≈ 0 | ≈ 0 |</t>
  </si>
  <si>
    <t>Calculados (destaque): **DV01 da carteira = Σ = 25.300** (soma em reais); **duration da carteira = Σ peso×MD = 0,63** (ponderada pelo valor); **convexidade da carteira = Σ peso×C ≈ 1,46** — com a linha: *"dominada pelos fluxos longos: a NTN-F contribui ~73% da convexidade com 25% do valor."*</t>
  </si>
  <si>
    <t>- Célula-lembrete dos dois fatores: as MDs ≈ 0 da LFT/LF valem para JUROS; o spread corre em outro relógio (Simulador 7).</t>
  </si>
  <si>
    <t>### 5.5 Gráfico (este simulador DEVE ter gráfico)</t>
  </si>
  <si>
    <t>Preço (base 100) × taxa, para a NTN-F da Parte A, com três séries numa grade de choques de −300 a +300 bps (área auxiliar): **exato** (curva, `#0C63AA`, espessa), **reta tangente** (cinza tracejada), **reta + parábola** (azul-marinho fina). Título: "A reta engana nos choques grandes — a convexidade é a correção, sempre a favor do comprado".</t>
  </si>
  <si>
    <t>## 6. Aba "Cenários"</t>
  </si>
  <si>
    <t>Verificação automática padrão (gabaritos por fórmula).</t>
  </si>
  <si>
    <t>- **Cenário A (o título):** com os fluxos default, informe PU, MD e DV01 por R$ 100 mi. Gabaritos: ≈ 950,79; ≈ 1,65; ≈ 16.500.</t>
  </si>
  <si>
    <t>- **Cenário B (a sobra do material):** LTN de 252 du a 13,00%, choque de +200 bps em R$ 100 mi: quanto estima a reta e quanto dá o exato? Gabaritos por fórmula: reta ≈ −R$ 1.770 mil; exato ≈ −R$ 1.739 mil; sobra ≈ +R$ 31 mil (nota: o material arredonda para −1.760/−1.730/30 — aceitar ambas as faixas com tolerância de R$ 15 mil).</t>
  </si>
  <si>
    <t>- **Cenário C (identificação):** na fórmula `ΔPU ≈ −MD·Δi + ½·C·(Δi)²`, qual termo é o DV01 e qual é a convexidade? (Listas.) Gabarito: primeiro/segundo.</t>
  </si>
  <si>
    <t>- **Cenário D (agregação):** por que o DV01 se soma e a duration se pondera? Resposta-modelo oculta: DV01 está em reais; duration é percentual e precisa do peso de valor de mercado.</t>
  </si>
  <si>
    <t>- **Cenário E (sinal):** um choque de −200 bps na NTN-F: o ganho exato é maior ou menor que o da reta? Gabarito: maior — a convexidade turbina a alta (sempre a favor do comprado).</t>
  </si>
  <si>
    <t>## 7. Aba "Prompt"</t>
  </si>
  <si>
    <t>Colar o texto integral desta especificação, com título "Prompt utilizado para gerar este simulador" e data.</t>
  </si>
  <si>
    <t>## 8. Critérios de aceite</t>
  </si>
  <si>
    <t>- Parte A com defaults: PU 950,79 (±0,05); Macaulay 1,86; MD 1,65; DV01 16.500 (±100); convexidade 4,28 (±0,05).</t>
  </si>
  <si>
    <t>- As três linhas de 5.2 ordenadas corretamente num choque de alta: |reta| &gt; |reta+parábola| ≥ |exato| (tolerância do termo de 3ª ordem).</t>
  </si>
  <si>
    <t>- Parte B: DV01 25.300; duration 0,63; leitura da dominância da convexidade presente.</t>
  </si>
  <si>
    <t>- Gráfico com as três séries visíveis e descolamento crescente nos extremos; apenas células azuis editáveis; aba Prompt com a spec na íntegra.</t>
  </si>
  <si>
    <t>Erro da reta (exato − reta, R$ mil)</t>
  </si>
  <si>
    <t>Erro reta+parábola (exato − r+p, R$ mil)</t>
  </si>
  <si>
    <t>Erro da reta (R$ mil)</t>
  </si>
  <si>
    <t>Erro reta+parábola (R$ mil)</t>
  </si>
  <si>
    <t>GRÁFICOS — o preço exato contra a reta e contra a reta+parábola; abaixo, o tamanho do descolamento em R$ 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</si>
</sst>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#,##0;\(#,##0\);\-"/>
    <numFmt numFmtId="166" formatCode="0.0&quot;×&quot;"/>
    <numFmt numFmtId="167" formatCode="0.000000"/>
    <numFmt numFmtId="168" formatCode="#,##0.0000"/>
    <numFmt numFmtId="169" formatCode="0.0%"/>
  </numFmts>
  <fonts count="27" x14ac:knownFonts="1">
    <font>
      <sz val="11"/>
      <color theme="1"/>
      <name val="Aptos Narrow"/>
      <family val="2"/>
      <scheme val="minor"/>
    </font>
    <font>
      <b/>
      <sz val="16"/>
      <color rgb="FF002C4D"/>
      <name val="Arial"/>
    </font>
    <font>
      <sz val="10"/>
      <color rgb="FF202427"/>
      <name val="Arial"/>
    </font>
    <font>
      <i/>
      <sz val="10"/>
      <color rgb="FF202427"/>
      <name val="Arial"/>
    </font>
    <font>
      <b/>
      <sz val="12"/>
      <color rgb="FF002C4D"/>
      <name val="Arial"/>
    </font>
    <font>
      <sz val="10"/>
      <color theme="1"/>
      <name val="Arial"/>
    </font>
    <font>
      <sz val="11"/>
      <color rgb="FF0000FF"/>
      <name val="Aptos Narrow"/>
      <family val="2"/>
      <scheme val="minor"/>
    </font>
    <font>
      <sz val="10"/>
      <color rgb="FF0000FF"/>
      <name val="Arial"/>
    </font>
    <font>
      <b/>
      <sz val="11"/>
      <color rgb="FF002C4D"/>
      <name val="Arial"/>
    </font>
    <font>
      <i/>
      <sz val="10"/>
      <color rgb="FF0C63AA"/>
      <name val="Arial"/>
    </font>
    <font>
      <sz val="9"/>
      <color rgb="FF202427"/>
      <name val="Arial"/>
    </font>
    <font>
      <b/>
      <sz val="10"/>
      <color rgb="FF002C4D"/>
      <name val="Arial"/>
    </font>
    <font>
      <sz val="11"/>
      <color rgb="FF202427"/>
      <name val="Arial"/>
    </font>
    <font>
      <i/>
      <sz val="11"/>
      <color rgb="FF202427"/>
      <name val="Arial"/>
    </font>
    <font>
      <b/>
      <sz val="12"/>
      <color rgb="FF0C63AA"/>
      <name val="Arial"/>
    </font>
    <font>
      <i/>
      <sz val="11"/>
      <color theme="1"/>
      <name val="Aptos Narrow"/>
      <family val="2"/>
      <scheme val="minor"/>
    </font>
    <font>
      <i/>
      <sz val="10"/>
      <color rgb="FF002C4D"/>
      <name val="Arial"/>
    </font>
    <font>
      <i/>
      <sz val="10"/>
      <color theme="1"/>
      <name val="Arial"/>
    </font>
    <font>
      <sz val="11"/>
      <color rgb="FF0000FF"/>
      <name val="Arial"/>
    </font>
    <font>
      <b/>
      <sz val="11"/>
      <color rgb="FFFFFFFF"/>
      <name val="Aptos Narrow"/>
      <family val="2"/>
      <scheme val="minor"/>
    </font>
    <font>
      <sz val="11"/>
      <color theme="1"/>
      <name val="Arial"/>
    </font>
    <font>
      <b/>
      <sz val="11"/>
      <color rgb="FFFFFFFF"/>
      <name val="Arial"/>
    </font>
    <font>
      <i/>
      <sz val="9"/>
      <color theme="1"/>
      <name val="Arial"/>
    </font>
    <font>
      <b/>
      <sz val="11"/>
      <color theme="1"/>
      <name val="Arial"/>
    </font>
    <font>
      <b/>
      <sz val="10"/>
      <color theme="1"/>
      <name val="Arial"/>
    </font>
    <font>
      <b/>
      <sz val="10"/>
      <color rgb="FFFFFFFF"/>
      <name val="Arial"/>
    </font>
    <font>
      <b/>
      <sz val="10"/>
      <color rgb="FF0C63AA"/>
      <name val="Arial"/>
    </font>
  </fonts>
  <fills count="4">
    <fill>
      <patternFill patternType="none"/>
    </fill>
    <fill>
      <patternFill patternType="gray125"/>
    </fill>
    <fill>
      <patternFill patternType="solid">
        <fgColor rgb="FFDCE9F5"/>
        <bgColor indexed="64"/>
      </patternFill>
    </fill>
    <fill>
      <patternFill patternType="solid">
        <fgColor rgb="FF002C4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0" borderId="0" xfId="0" applyFont="1"/>
    <xf numFmtId="0" fontId="11" fillId="0" borderId="0" xfId="0" applyFont="1"/>
    <xf numFmtId="0" fontId="3" fillId="0" borderId="0" xfId="0" applyFont="1"/>
    <xf numFmtId="0" fontId="25" fillId="3" borderId="0" xfId="0" applyFont="1" applyFill="1" applyAlignment="1">
      <alignment horizontal="center"/>
    </xf>
    <xf numFmtId="3" fontId="5" fillId="0" borderId="0" xfId="0" applyNumberFormat="1" applyFont="1"/>
    <xf numFmtId="2" fontId="5" fillId="0" borderId="0" xfId="0" applyNumberFormat="1" applyFont="1"/>
    <xf numFmtId="167" fontId="5" fillId="0" borderId="0" xfId="0" applyNumberFormat="1" applyFont="1"/>
    <xf numFmtId="4" fontId="5" fillId="0" borderId="0" xfId="0" applyNumberFormat="1" applyFont="1"/>
    <xf numFmtId="168" fontId="5" fillId="0" borderId="0" xfId="0" applyNumberFormat="1" applyFont="1"/>
    <xf numFmtId="0" fontId="24" fillId="0" borderId="0" xfId="0" applyFont="1"/>
    <xf numFmtId="4" fontId="24" fillId="0" borderId="0" xfId="0" applyNumberFormat="1" applyFont="1"/>
    <xf numFmtId="168" fontId="24" fillId="0" borderId="0" xfId="0" applyNumberFormat="1" applyFont="1"/>
    <xf numFmtId="4" fontId="26" fillId="0" borderId="0" xfId="0" applyNumberFormat="1" applyFont="1"/>
    <xf numFmtId="164" fontId="26" fillId="0" borderId="0" xfId="0" applyNumberFormat="1" applyFont="1"/>
    <xf numFmtId="3" fontId="26" fillId="0" borderId="0" xfId="0" applyNumberFormat="1" applyFont="1"/>
    <xf numFmtId="2" fontId="26" fillId="0" borderId="0" xfId="0" applyNumberFormat="1" applyFont="1"/>
    <xf numFmtId="10" fontId="5" fillId="0" borderId="0" xfId="0" applyNumberFormat="1" applyFont="1"/>
    <xf numFmtId="165" fontId="26" fillId="0" borderId="0" xfId="0" applyNumberFormat="1" applyFont="1"/>
    <xf numFmtId="165" fontId="5" fillId="0" borderId="0" xfId="0" applyNumberFormat="1" applyFont="1"/>
    <xf numFmtId="0" fontId="9" fillId="0" borderId="0" xfId="0" applyFont="1"/>
    <xf numFmtId="0" fontId="2" fillId="0" borderId="0" xfId="0" applyFont="1"/>
    <xf numFmtId="166" fontId="5" fillId="0" borderId="0" xfId="0" applyNumberFormat="1" applyFont="1"/>
    <xf numFmtId="169" fontId="5" fillId="0" borderId="0" xfId="0" applyNumberFormat="1" applyFont="1"/>
    <xf numFmtId="164" fontId="5" fillId="0" borderId="0" xfId="0" applyNumberFormat="1" applyFont="1"/>
    <xf numFmtId="3" fontId="24" fillId="0" borderId="0" xfId="0" applyNumberFormat="1" applyFont="1"/>
    <xf numFmtId="169" fontId="24" fillId="0" borderId="0" xfId="0" applyNumberFormat="1" applyFont="1"/>
    <xf numFmtId="164" fontId="24" fillId="0" borderId="0" xfId="0" applyNumberFormat="1" applyFont="1"/>
    <xf numFmtId="10" fontId="7" fillId="2" borderId="0" xfId="0" applyNumberFormat="1" applyFont="1" applyFill="1" applyAlignment="1" applyProtection="1">
      <alignment horizontal="center"/>
      <protection locked="0"/>
    </xf>
    <xf numFmtId="3" fontId="7" fillId="2" borderId="0" xfId="0" applyNumberFormat="1" applyFont="1" applyFill="1" applyAlignment="1" applyProtection="1">
      <alignment horizontal="center"/>
      <protection locked="0"/>
    </xf>
    <xf numFmtId="4" fontId="7" fillId="2" borderId="0" xfId="0" applyNumberFormat="1" applyFont="1" applyFill="1" applyProtection="1">
      <protection locked="0"/>
    </xf>
    <xf numFmtId="3" fontId="7" fillId="2" borderId="0" xfId="0" applyNumberFormat="1" applyFont="1" applyFill="1" applyProtection="1">
      <protection locked="0"/>
    </xf>
    <xf numFmtId="2" fontId="7" fillId="2" borderId="0" xfId="0" applyNumberFormat="1" applyFont="1" applyFill="1" applyProtection="1">
      <protection locked="0"/>
    </xf>
    <xf numFmtId="0" fontId="1" fillId="0" borderId="0" xfId="0" applyFont="1"/>
    <xf numFmtId="0" fontId="20" fillId="0" borderId="0" xfId="0" applyFont="1"/>
    <xf numFmtId="0" fontId="17" fillId="0" borderId="0" xfId="0" applyFont="1"/>
    <xf numFmtId="0" fontId="4" fillId="0" borderId="0" xfId="0" applyFont="1"/>
    <xf numFmtId="0" fontId="21" fillId="3" borderId="0" xfId="0" applyFont="1" applyFill="1"/>
    <xf numFmtId="4" fontId="20" fillId="0" borderId="0" xfId="0" applyNumberFormat="1" applyFont="1"/>
    <xf numFmtId="0" fontId="23" fillId="0" borderId="0" xfId="0" applyFont="1"/>
    <xf numFmtId="164" fontId="20" fillId="0" borderId="0" xfId="0" applyNumberFormat="1" applyFont="1"/>
    <xf numFmtId="3" fontId="20" fillId="0" borderId="0" xfId="0" applyNumberFormat="1" applyFont="1"/>
    <xf numFmtId="165" fontId="20" fillId="0" borderId="0" xfId="0" applyNumberFormat="1" applyFont="1"/>
    <xf numFmtId="0" fontId="22" fillId="0" borderId="0" xfId="0" applyFont="1"/>
    <xf numFmtId="0" fontId="18" fillId="2" borderId="0" xfId="0" applyFont="1" applyFill="1" applyProtection="1">
      <protection locked="0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8" fillId="2" borderId="0" xfId="0" applyFont="1" applyFill="1"/>
    <xf numFmtId="0" fontId="16" fillId="2" borderId="0" xfId="0" applyFont="1" applyFill="1"/>
    <xf numFmtId="0" fontId="10" fillId="0" borderId="0" xfId="0" applyFont="1"/>
    <xf numFmtId="165" fontId="0" fillId="0" borderId="0" xfId="0" applyNumberFormat="1"/>
    <xf numFmtId="0" fontId="19" fillId="3" borderId="0" xfId="0" applyFont="1" applyFill="1"/>
    <xf numFmtId="3" fontId="0" fillId="0" borderId="0" xfId="0" applyNumberFormat="1"/>
    <xf numFmtId="0" fontId="12" fillId="0" borderId="0" xfId="0" applyFont="1"/>
    <xf numFmtId="0" fontId="6" fillId="2" borderId="0" xfId="0" applyFont="1" applyFill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02C4D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 reta engana nos choques grandes — a convexidade é a correção, sempre a favor do comprado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02C4D"/>
              </a:solidFill>
              <a:latin typeface="Arial"/>
              <a:ea typeface="Arial"/>
              <a:cs typeface="Arial"/>
            </a:defRPr>
          </a:pPr>
          <a:endParaRPr lang="pt-B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Simulador!$L$5</c:f>
              <c:strCache>
                <c:ptCount val="1"/>
                <c:pt idx="0">
                  <c:v>Exato</c:v>
                </c:pt>
              </c:strCache>
            </c:strRef>
          </c:tx>
          <c:spPr>
            <a:ln w="44450" cap="rnd">
              <a:solidFill>
                <a:srgbClr val="0C63AA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Simulador!$K$6:$K$18</c:f>
              <c:numCache>
                <c:formatCode>#,##0</c:formatCod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numCache>
            </c:numRef>
          </c:xVal>
          <c:yVal>
            <c:numRef>
              <c:f>Simulador!$L$6:$L$18</c:f>
              <c:numCache>
                <c:formatCode>0.00</c:formatCode>
                <c:ptCount val="13"/>
                <c:pt idx="0">
                  <c:v>105.13889386273468</c:v>
                </c:pt>
                <c:pt idx="1">
                  <c:v>104.25385413540219</c:v>
                </c:pt>
                <c:pt idx="2">
                  <c:v>103.38050905662897</c:v>
                </c:pt>
                <c:pt idx="3">
                  <c:v>102.51865146297483</c:v>
                </c:pt>
                <c:pt idx="4">
                  <c:v>101.66807877543688</c:v>
                </c:pt>
                <c:pt idx="5">
                  <c:v>100.82859287801189</c:v>
                </c:pt>
                <c:pt idx="6">
                  <c:v>100</c:v>
                </c:pt>
                <c:pt idx="7">
                  <c:v>99.182110601917003</c:v>
                </c:pt>
                <c:pt idx="8">
                  <c:v>98.374739264890351</c:v>
                </c:pt>
                <c:pt idx="9">
                  <c:v>97.577704583417415</c:v>
                </c:pt>
                <c:pt idx="10">
                  <c:v>96.790829061369109</c:v>
                </c:pt>
                <c:pt idx="11">
                  <c:v>96.013939011128045</c:v>
                </c:pt>
                <c:pt idx="12">
                  <c:v>95.246864455752274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FBD-4CB3-B13C-44F1CB48A84C}"/>
            </c:ext>
          </c:extLst>
        </c:ser>
        <c:ser>
          <c:idx val="1"/>
          <c:order val="1"/>
          <c:tx>
            <c:strRef>
              <c:f>Simulador!$M$5</c:f>
              <c:strCache>
                <c:ptCount val="1"/>
                <c:pt idx="0">
                  <c:v>Reta tangente</c:v>
                </c:pt>
              </c:strCache>
            </c:strRef>
          </c:tx>
          <c:spPr>
            <a:ln w="22225" cap="rnd">
              <a:solidFill>
                <a:srgbClr val="9AA3A8"/>
              </a:solidFill>
              <a:prstDash val="lgDash"/>
              <a:round/>
            </a:ln>
            <a:effectLst/>
          </c:spPr>
          <c:marker>
            <c:symbol val="none"/>
          </c:marker>
          <c:xVal>
            <c:numRef>
              <c:f>Simulador!$K$6:$K$18</c:f>
              <c:numCache>
                <c:formatCode>#,##0</c:formatCod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numCache>
            </c:numRef>
          </c:xVal>
          <c:yVal>
            <c:numRef>
              <c:f>Simulador!$M$6:$M$18</c:f>
              <c:numCache>
                <c:formatCode>0.00</c:formatCode>
                <c:ptCount val="13"/>
                <c:pt idx="0">
                  <c:v>104.93925937088602</c:v>
                </c:pt>
                <c:pt idx="1">
                  <c:v>104.11604947573834</c:v>
                </c:pt>
                <c:pt idx="2">
                  <c:v>103.29283958059068</c:v>
                </c:pt>
                <c:pt idx="3">
                  <c:v>102.469629685443</c:v>
                </c:pt>
                <c:pt idx="4">
                  <c:v>101.64641979029534</c:v>
                </c:pt>
                <c:pt idx="5">
                  <c:v>100.82320989514766</c:v>
                </c:pt>
                <c:pt idx="6">
                  <c:v>100</c:v>
                </c:pt>
                <c:pt idx="7">
                  <c:v>99.17679010485233</c:v>
                </c:pt>
                <c:pt idx="8">
                  <c:v>98.35358020970466</c:v>
                </c:pt>
                <c:pt idx="9">
                  <c:v>97.53037031455699</c:v>
                </c:pt>
                <c:pt idx="10">
                  <c:v>96.70716041940932</c:v>
                </c:pt>
                <c:pt idx="11">
                  <c:v>95.88395052426165</c:v>
                </c:pt>
                <c:pt idx="12">
                  <c:v>95.06074062911398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FBD-4CB3-B13C-44F1CB48A84C}"/>
            </c:ext>
          </c:extLst>
        </c:ser>
        <c:ser>
          <c:idx val="2"/>
          <c:order val="2"/>
          <c:tx>
            <c:strRef>
              <c:f>Simulador!$N$5</c:f>
              <c:strCache>
                <c:ptCount val="1"/>
                <c:pt idx="0">
                  <c:v>Reta + parábola</c:v>
                </c:pt>
              </c:strCache>
            </c:strRef>
          </c:tx>
          <c:spPr>
            <a:ln w="15875" cap="rnd">
              <a:solidFill>
                <a:srgbClr val="002C4D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Simulador!$K$6:$K$18</c:f>
              <c:numCache>
                <c:formatCode>#,##0</c:formatCod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numCache>
            </c:numRef>
          </c:xVal>
          <c:yVal>
            <c:numRef>
              <c:f>Simulador!$N$6:$N$18</c:f>
              <c:numCache>
                <c:formatCode>0.00</c:formatCode>
                <c:ptCount val="13"/>
                <c:pt idx="0">
                  <c:v>105.13191582936055</c:v>
                </c:pt>
                <c:pt idx="1">
                  <c:v>104.24983868301231</c:v>
                </c:pt>
                <c:pt idx="2">
                  <c:v>103.37846467324603</c:v>
                </c:pt>
                <c:pt idx="3">
                  <c:v>102.51779380006163</c:v>
                </c:pt>
                <c:pt idx="4">
                  <c:v>101.66782606345916</c:v>
                </c:pt>
                <c:pt idx="5">
                  <c:v>100.82856146343862</c:v>
                </c:pt>
                <c:pt idx="6">
                  <c:v>100</c:v>
                </c:pt>
                <c:pt idx="7">
                  <c:v>99.182141673143292</c:v>
                </c:pt>
                <c:pt idx="8">
                  <c:v>98.374986482868493</c:v>
                </c:pt>
                <c:pt idx="9">
                  <c:v>97.578534429175619</c:v>
                </c:pt>
                <c:pt idx="10">
                  <c:v>96.792785512064668</c:v>
                </c:pt>
                <c:pt idx="11">
                  <c:v>96.017739731535627</c:v>
                </c:pt>
                <c:pt idx="12">
                  <c:v>95.25339708758851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FBD-4CB3-B13C-44F1CB48A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7936000"/>
        <c:axId val="1955314896"/>
      </c:scatterChart>
      <c:valAx>
        <c:axId val="1207936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Choque de taxa (bps)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55314896"/>
        <c:crosses val="autoZero"/>
        <c:crossBetween val="midCat"/>
      </c:valAx>
      <c:valAx>
        <c:axId val="1955314896"/>
        <c:scaling>
          <c:orientation val="minMax"/>
          <c:max val="106"/>
          <c:min val="9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Preço (base 100)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079360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rgbClr val="002C4D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 tamanho do descolamento: o erro da reta cresce nos extremos — e sempre a favor do comprado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rgbClr val="002C4D"/>
              </a:solidFill>
              <a:latin typeface="Arial"/>
              <a:ea typeface="Arial"/>
              <a:cs typeface="Arial"/>
            </a:defRPr>
          </a:pPr>
          <a:endParaRPr lang="pt-B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Simulador!$R$5</c:f>
              <c:strCache>
                <c:ptCount val="1"/>
                <c:pt idx="0">
                  <c:v>Erro da reta (R$ mil)</c:v>
                </c:pt>
              </c:strCache>
            </c:strRef>
          </c:tx>
          <c:spPr>
            <a:ln w="31750" cap="rnd">
              <a:solidFill>
                <a:srgbClr val="9AA3A8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Simulador!$Q$6:$Q$18</c:f>
              <c:numCache>
                <c:formatCode>#,##0</c:formatCod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numCache>
            </c:numRef>
          </c:xVal>
          <c:yVal>
            <c:numRef>
              <c:f>Simulador!$R$6:$R$18</c:f>
              <c:numCache>
                <c:formatCode>#,##0;\(#,##0\);\-</c:formatCode>
                <c:ptCount val="13"/>
                <c:pt idx="0">
                  <c:v>199.63449184865564</c:v>
                </c:pt>
                <c:pt idx="1">
                  <c:v>137.80465966385691</c:v>
                </c:pt>
                <c:pt idx="2">
                  <c:v>87.669476038286106</c:v>
                </c:pt>
                <c:pt idx="3">
                  <c:v>49.021777531834232</c:v>
                </c:pt>
                <c:pt idx="4">
                  <c:v>21.658985141542075</c:v>
                </c:pt>
                <c:pt idx="5">
                  <c:v>5.3829828642335542</c:v>
                </c:pt>
                <c:pt idx="6">
                  <c:v>0</c:v>
                </c:pt>
                <c:pt idx="7">
                  <c:v>5.3204970646731908</c:v>
                </c:pt>
                <c:pt idx="8">
                  <c:v>21.1590551856915</c:v>
                </c:pt>
                <c:pt idx="9">
                  <c:v>47.334268860424793</c:v>
                </c:pt>
                <c:pt idx="10">
                  <c:v>83.668641959789625</c:v>
                </c:pt>
                <c:pt idx="11">
                  <c:v>129.98848686639519</c:v>
                </c:pt>
                <c:pt idx="12">
                  <c:v>186.12382663829408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B2-488C-865C-9BACA1C23B5E}"/>
            </c:ext>
          </c:extLst>
        </c:ser>
        <c:ser>
          <c:idx val="1"/>
          <c:order val="1"/>
          <c:tx>
            <c:strRef>
              <c:f>Simulador!$S$5</c:f>
              <c:strCache>
                <c:ptCount val="1"/>
                <c:pt idx="0">
                  <c:v>Erro reta+parábola (R$ mil)</c:v>
                </c:pt>
              </c:strCache>
            </c:strRef>
          </c:tx>
          <c:spPr>
            <a:ln w="31750" cap="rnd">
              <a:solidFill>
                <a:srgbClr val="0C63AA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Simulador!$Q$6:$Q$18</c:f>
              <c:numCache>
                <c:formatCode>#,##0</c:formatCode>
                <c:ptCount val="13"/>
                <c:pt idx="0">
                  <c:v>-300</c:v>
                </c:pt>
                <c:pt idx="1">
                  <c:v>-250</c:v>
                </c:pt>
                <c:pt idx="2">
                  <c:v>-200</c:v>
                </c:pt>
                <c:pt idx="3">
                  <c:v>-150</c:v>
                </c:pt>
                <c:pt idx="4">
                  <c:v>-100</c:v>
                </c:pt>
                <c:pt idx="5">
                  <c:v>-50</c:v>
                </c:pt>
                <c:pt idx="6">
                  <c:v>0</c:v>
                </c:pt>
                <c:pt idx="7">
                  <c:v>50</c:v>
                </c:pt>
                <c:pt idx="8">
                  <c:v>100</c:v>
                </c:pt>
                <c:pt idx="9">
                  <c:v>150</c:v>
                </c:pt>
                <c:pt idx="10">
                  <c:v>200</c:v>
                </c:pt>
                <c:pt idx="11">
                  <c:v>250</c:v>
                </c:pt>
                <c:pt idx="12">
                  <c:v>300</c:v>
                </c:pt>
              </c:numCache>
            </c:numRef>
          </c:xVal>
          <c:yVal>
            <c:numRef>
              <c:f>Simulador!$S$6:$S$18</c:f>
              <c:numCache>
                <c:formatCode>#,##0;\(#,##0\);\-</c:formatCode>
                <c:ptCount val="13"/>
                <c:pt idx="0">
                  <c:v>6.9780333741249478</c:v>
                </c:pt>
                <c:pt idx="1">
                  <c:v>4.0154523898792149</c:v>
                </c:pt>
                <c:pt idx="2">
                  <c:v>2.0443833829375535</c:v>
                </c:pt>
                <c:pt idx="3">
                  <c:v>0.85766291320510379</c:v>
                </c:pt>
                <c:pt idx="4">
                  <c:v>0.25271197772269716</c:v>
                </c:pt>
                <c:pt idx="5">
                  <c:v>3.141457327160424E-2</c:v>
                </c:pt>
                <c:pt idx="6">
                  <c:v>0</c:v>
                </c:pt>
                <c:pt idx="7">
                  <c:v>-3.1071226288759135E-2</c:v>
                </c:pt>
                <c:pt idx="8">
                  <c:v>-0.24721797814208912</c:v>
                </c:pt>
                <c:pt idx="9">
                  <c:v>-0.82984575820432838</c:v>
                </c:pt>
                <c:pt idx="10">
                  <c:v>-1.9564506955589422</c:v>
                </c:pt>
                <c:pt idx="11">
                  <c:v>-3.800720407582503</c:v>
                </c:pt>
                <c:pt idx="12">
                  <c:v>-6.5326318362366464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AB2-488C-865C-9BACA1C23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7133456"/>
        <c:axId val="1955292336"/>
      </c:scatterChart>
      <c:valAx>
        <c:axId val="1277133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Choque de taxa (bps)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55292336"/>
        <c:crosses val="autoZero"/>
        <c:crossBetween val="midCat"/>
      </c:valAx>
      <c:valAx>
        <c:axId val="195529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Erro vs. reapreçamento exato (R$ mil)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;\(#,##0\);\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771334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57</xdr:row>
      <xdr:rowOff>0</xdr:rowOff>
    </xdr:from>
    <xdr:to>
      <xdr:col>10</xdr:col>
      <xdr:colOff>0</xdr:colOff>
      <xdr:row>78</xdr:row>
      <xdr:rowOff>0</xdr:rowOff>
    </xdr:to>
    <xdr:graphicFrame macro="">
      <xdr:nvGraphicFramePr>
        <xdr:cNvPr id="2" name="ConvexidadeChart">
          <a:extLst>
            <a:ext uri="{FF2B5EF4-FFF2-40B4-BE49-F238E27FC236}">
              <a16:creationId xmlns:a16="http://schemas.microsoft.com/office/drawing/2014/main" id="{0E14B8FF-901F-2A3C-50E3-43772AD4A5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79</xdr:row>
      <xdr:rowOff>0</xdr:rowOff>
    </xdr:from>
    <xdr:to>
      <xdr:col>9</xdr:col>
      <xdr:colOff>1203959</xdr:colOff>
      <xdr:row>96</xdr:row>
      <xdr:rowOff>0</xdr:rowOff>
    </xdr:to>
    <xdr:graphicFrame macro="">
      <xdr:nvGraphicFramePr>
        <xdr:cNvPr id="4" name="ErroRetaChart">
          <a:extLst>
            <a:ext uri="{FF2B5EF4-FFF2-40B4-BE49-F238E27FC236}">
              <a16:creationId xmlns:a16="http://schemas.microsoft.com/office/drawing/2014/main" id="{499E74A3-D516-C400-1349-2CBE14E27E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  <wetp:taskpane dockstate="right" visibility="0" width="438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441634CF-CEA8-48AD-9E6F-FDB75D50E669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8f0462bb-9d08-44f2-adce-700292d9204d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F614EF1D-1894-4585-AE11-29B9ADDB8A0D}">
  <we:reference id="wa200009404" version="1.0.0.8" store="en-US" storeType="OMEX"/>
  <we:alternateReferences>
    <we:reference id="WA200009404" version="1.0.0.8" store="" storeType="OMEX"/>
  </we:alternateReferences>
  <we:properties/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55B55-83E2-45C8-BA3D-76B1924A0A76}">
  <dimension ref="A1:A33"/>
  <sheetViews>
    <sheetView showGridLines="0" topLeftCell="A19" zoomScale="120" zoomScaleNormal="120" workbookViewId="0">
      <selection activeCell="A27" sqref="A27"/>
    </sheetView>
  </sheetViews>
  <sheetFormatPr defaultRowHeight="14.4" x14ac:dyDescent="0.3"/>
  <cols>
    <col min="1" max="1" width="29.6640625" customWidth="1"/>
  </cols>
  <sheetData>
    <row r="1" spans="1:1" ht="21" x14ac:dyDescent="0.4">
      <c r="A1" s="33" t="s">
        <v>0</v>
      </c>
    </row>
    <row r="2" spans="1:1" x14ac:dyDescent="0.3">
      <c r="A2" s="45" t="s">
        <v>63</v>
      </c>
    </row>
    <row r="4" spans="1:1" ht="15.6" x14ac:dyDescent="0.3">
      <c r="A4" s="36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67</v>
      </c>
    </row>
    <row r="8" spans="1:1" x14ac:dyDescent="0.3">
      <c r="A8" t="s">
        <v>68</v>
      </c>
    </row>
    <row r="10" spans="1:1" ht="15.6" x14ac:dyDescent="0.3">
      <c r="A10" s="36" t="s">
        <v>69</v>
      </c>
    </row>
    <row r="11" spans="1:1" ht="15.6" x14ac:dyDescent="0.3">
      <c r="A11" s="46" t="s">
        <v>70</v>
      </c>
    </row>
    <row r="12" spans="1:1" x14ac:dyDescent="0.3">
      <c r="A12" s="47" t="s">
        <v>71</v>
      </c>
    </row>
    <row r="14" spans="1:1" ht="15.6" x14ac:dyDescent="0.3">
      <c r="A14" s="36" t="s">
        <v>72</v>
      </c>
    </row>
    <row r="15" spans="1:1" x14ac:dyDescent="0.3">
      <c r="A15" t="s">
        <v>73</v>
      </c>
    </row>
    <row r="16" spans="1:1" x14ac:dyDescent="0.3">
      <c r="A16" t="s">
        <v>74</v>
      </c>
    </row>
    <row r="17" spans="1:1" x14ac:dyDescent="0.3">
      <c r="A17" t="s">
        <v>75</v>
      </c>
    </row>
    <row r="18" spans="1:1" x14ac:dyDescent="0.3">
      <c r="A18" s="47" t="s">
        <v>76</v>
      </c>
    </row>
    <row r="20" spans="1:1" ht="15.6" x14ac:dyDescent="0.3">
      <c r="A20" s="36" t="s">
        <v>77</v>
      </c>
    </row>
    <row r="21" spans="1:1" x14ac:dyDescent="0.3">
      <c r="A21" t="s">
        <v>78</v>
      </c>
    </row>
    <row r="22" spans="1:1" x14ac:dyDescent="0.3">
      <c r="A22" t="s">
        <v>79</v>
      </c>
    </row>
    <row r="23" spans="1:1" x14ac:dyDescent="0.3">
      <c r="A23" t="s">
        <v>80</v>
      </c>
    </row>
    <row r="25" spans="1:1" ht="15.6" x14ac:dyDescent="0.3">
      <c r="A25" s="36" t="s">
        <v>81</v>
      </c>
    </row>
    <row r="26" spans="1:1" x14ac:dyDescent="0.3">
      <c r="A26" t="s">
        <v>82</v>
      </c>
    </row>
    <row r="27" spans="1:1" x14ac:dyDescent="0.3">
      <c r="A27" t="s">
        <v>83</v>
      </c>
    </row>
    <row r="28" spans="1:1" x14ac:dyDescent="0.3">
      <c r="A28" t="s">
        <v>84</v>
      </c>
    </row>
    <row r="30" spans="1:1" x14ac:dyDescent="0.3">
      <c r="A30" s="48" t="s">
        <v>85</v>
      </c>
    </row>
    <row r="31" spans="1:1" x14ac:dyDescent="0.3">
      <c r="A31" s="49" t="s">
        <v>86</v>
      </c>
    </row>
    <row r="33" spans="1:1" x14ac:dyDescent="0.3">
      <c r="A33" s="50" t="s">
        <v>87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0B18-0DB2-4FA3-BF2F-F907D4E72C7B}">
  <dimension ref="A1:S60"/>
  <sheetViews>
    <sheetView showGridLines="0" topLeftCell="A35" zoomScale="113" zoomScaleNormal="130" workbookViewId="0">
      <selection activeCell="C46" sqref="C46"/>
    </sheetView>
  </sheetViews>
  <sheetFormatPr defaultRowHeight="14.4" x14ac:dyDescent="0.3"/>
  <cols>
    <col min="1" max="1" width="55.5546875" customWidth="1"/>
    <col min="2" max="19" width="17.5546875" customWidth="1"/>
  </cols>
  <sheetData>
    <row r="1" spans="1:19" x14ac:dyDescent="0.3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x14ac:dyDescent="0.3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9" x14ac:dyDescent="0.3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  <c r="K4" s="2" t="s">
        <v>58</v>
      </c>
      <c r="L4" s="1"/>
      <c r="M4" s="1"/>
      <c r="N4" s="1"/>
    </row>
    <row r="5" spans="1:19" x14ac:dyDescent="0.3">
      <c r="A5" s="1" t="s">
        <v>3</v>
      </c>
      <c r="B5" s="28">
        <v>0.13020000000000001</v>
      </c>
      <c r="C5" s="1"/>
      <c r="D5" s="1"/>
      <c r="E5" s="1"/>
      <c r="F5" s="1"/>
      <c r="G5" s="1"/>
      <c r="H5" s="1"/>
      <c r="I5" s="1"/>
      <c r="J5" s="1"/>
      <c r="K5" s="4" t="s">
        <v>59</v>
      </c>
      <c r="L5" s="4" t="s">
        <v>60</v>
      </c>
      <c r="M5" s="4" t="s">
        <v>61</v>
      </c>
      <c r="N5" s="4" t="s">
        <v>62</v>
      </c>
      <c r="O5" s="4" t="s">
        <v>189</v>
      </c>
      <c r="P5" s="4" t="s">
        <v>190</v>
      </c>
      <c r="Q5" s="52" t="s">
        <v>59</v>
      </c>
      <c r="R5" s="52" t="s">
        <v>191</v>
      </c>
      <c r="S5" s="52" t="s">
        <v>192</v>
      </c>
    </row>
    <row r="6" spans="1:19" x14ac:dyDescent="0.3">
      <c r="A6" s="1" t="s">
        <v>4</v>
      </c>
      <c r="B6" s="29">
        <v>100</v>
      </c>
      <c r="C6" s="1"/>
      <c r="D6" s="1"/>
      <c r="E6" s="1"/>
      <c r="F6" s="1"/>
      <c r="G6" s="1"/>
      <c r="H6" s="1"/>
      <c r="I6" s="1"/>
      <c r="J6" s="1"/>
      <c r="K6" s="5">
        <v>-300</v>
      </c>
      <c r="L6" s="6" cm="1">
        <f t="array" ref="L6">100*SUMPRODUCT($B$9:$B$12/(1+$B$5+K6/10000)^$D$9:$D$12)/$B$16</f>
        <v>105.13889386273468</v>
      </c>
      <c r="M6" s="6">
        <f>100*(1-$B$18*K6/10000)</f>
        <v>104.93925937088602</v>
      </c>
      <c r="N6" s="6">
        <f>100*(1-$B$18*K6/10000+0.5*$B$20*(K6/10000)^2)</f>
        <v>105.13191582936055</v>
      </c>
      <c r="O6" s="51">
        <f>(L6-M6)/100*$B$6*1000000/1000</f>
        <v>199.63449184865564</v>
      </c>
      <c r="P6" s="51">
        <f>(L6-N6)/100*$B$6*1000000/1000</f>
        <v>6.9780333741249478</v>
      </c>
      <c r="Q6" s="53">
        <f>K6</f>
        <v>-300</v>
      </c>
      <c r="R6" s="51">
        <f>O6</f>
        <v>199.63449184865564</v>
      </c>
      <c r="S6" s="51">
        <f>P6</f>
        <v>6.9780333741249478</v>
      </c>
    </row>
    <row r="7" spans="1:19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5">
        <f>K6+50</f>
        <v>-250</v>
      </c>
      <c r="L7" s="6" cm="1">
        <f t="array" ref="L7">100*SUMPRODUCT($B$9:$B$12/(1+$B$5+K7/10000)^$D$9:$D$12)/$B$16</f>
        <v>104.25385413540219</v>
      </c>
      <c r="M7" s="6">
        <f t="shared" ref="M7:M18" si="0">100*(1-$B$18*K7/10000)</f>
        <v>104.11604947573834</v>
      </c>
      <c r="N7" s="6">
        <f t="shared" ref="N7:N18" si="1">100*(1-$B$18*K7/10000+0.5*$B$20*(K7/10000)^2)</f>
        <v>104.24983868301231</v>
      </c>
      <c r="O7" s="51">
        <f t="shared" ref="O7:O18" si="2">(L7-M7)/100*$B$6*1000000/1000</f>
        <v>137.80465966385691</v>
      </c>
      <c r="P7" s="51">
        <f t="shared" ref="P7:P18" si="3">(L7-N7)/100*$B$6*1000000/1000</f>
        <v>4.0154523898792149</v>
      </c>
      <c r="Q7" s="53">
        <f t="shared" ref="Q7:Q18" si="4">K7</f>
        <v>-250</v>
      </c>
      <c r="R7" s="51">
        <f t="shared" ref="R7:R18" si="5">O7</f>
        <v>137.80465966385691</v>
      </c>
      <c r="S7" s="51">
        <f t="shared" ref="S7:S18" si="6">P7</f>
        <v>4.0154523898792149</v>
      </c>
    </row>
    <row r="8" spans="1:19" x14ac:dyDescent="0.3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1"/>
      <c r="J8" s="1"/>
      <c r="K8" s="5">
        <f t="shared" ref="K8:K18" si="7">K7+50</f>
        <v>-200</v>
      </c>
      <c r="L8" s="6" cm="1">
        <f t="array" ref="L8">100*SUMPRODUCT($B$9:$B$12/(1+$B$5+K8/10000)^$D$9:$D$12)/$B$16</f>
        <v>103.38050905662897</v>
      </c>
      <c r="M8" s="6">
        <f t="shared" si="0"/>
        <v>103.29283958059068</v>
      </c>
      <c r="N8" s="6">
        <f t="shared" si="1"/>
        <v>103.37846467324603</v>
      </c>
      <c r="O8" s="51">
        <f t="shared" si="2"/>
        <v>87.669476038286106</v>
      </c>
      <c r="P8" s="51">
        <f t="shared" si="3"/>
        <v>2.0443833829375535</v>
      </c>
      <c r="Q8" s="53">
        <f t="shared" si="4"/>
        <v>-200</v>
      </c>
      <c r="R8" s="51">
        <f t="shared" si="5"/>
        <v>87.669476038286106</v>
      </c>
      <c r="S8" s="51">
        <f t="shared" si="6"/>
        <v>2.0443833829375535</v>
      </c>
    </row>
    <row r="9" spans="1:19" x14ac:dyDescent="0.3">
      <c r="A9" s="1" t="s">
        <v>13</v>
      </c>
      <c r="B9" s="30">
        <v>48.81</v>
      </c>
      <c r="C9" s="31">
        <v>126</v>
      </c>
      <c r="D9" s="6">
        <f>C9/252</f>
        <v>0.5</v>
      </c>
      <c r="E9" s="7">
        <f>1/(1+$B$5)^D9</f>
        <v>0.94063762979843368</v>
      </c>
      <c r="F9" s="8">
        <f>B9*E9</f>
        <v>45.912522710461552</v>
      </c>
      <c r="G9" s="9">
        <f>F9*D9</f>
        <v>22.956261355230776</v>
      </c>
      <c r="H9" s="9">
        <f>B9*D9*(D9+1)/(1+$B$5)^(D9+2)</f>
        <v>26.95763654383498</v>
      </c>
      <c r="I9" s="1"/>
      <c r="J9" s="1"/>
      <c r="K9" s="5">
        <f t="shared" si="7"/>
        <v>-150</v>
      </c>
      <c r="L9" s="6" cm="1">
        <f t="array" ref="L9">100*SUMPRODUCT($B$9:$B$12/(1+$B$5+K9/10000)^$D$9:$D$12)/$B$16</f>
        <v>102.51865146297483</v>
      </c>
      <c r="M9" s="6">
        <f t="shared" si="0"/>
        <v>102.469629685443</v>
      </c>
      <c r="N9" s="6">
        <f t="shared" si="1"/>
        <v>102.51779380006163</v>
      </c>
      <c r="O9" s="51">
        <f t="shared" si="2"/>
        <v>49.021777531834232</v>
      </c>
      <c r="P9" s="51">
        <f t="shared" si="3"/>
        <v>0.85766291320510379</v>
      </c>
      <c r="Q9" s="53">
        <f t="shared" si="4"/>
        <v>-150</v>
      </c>
      <c r="R9" s="51">
        <f t="shared" si="5"/>
        <v>49.021777531834232</v>
      </c>
      <c r="S9" s="51">
        <f t="shared" si="6"/>
        <v>0.85766291320510379</v>
      </c>
    </row>
    <row r="10" spans="1:19" x14ac:dyDescent="0.3">
      <c r="A10" s="1" t="s">
        <v>14</v>
      </c>
      <c r="B10" s="30">
        <v>48.81</v>
      </c>
      <c r="C10" s="31">
        <v>252</v>
      </c>
      <c r="D10" s="6">
        <f t="shared" ref="D10:D12" si="8">C10/252</f>
        <v>1</v>
      </c>
      <c r="E10" s="7">
        <f t="shared" ref="E10:E12" si="9">1/(1+$B$5)^D10</f>
        <v>0.88479915059281533</v>
      </c>
      <c r="F10" s="8">
        <f t="shared" ref="F10:F12" si="10">B10*E10</f>
        <v>43.187046540435318</v>
      </c>
      <c r="G10" s="9">
        <f t="shared" ref="G10:G12" si="11">F10*D10</f>
        <v>43.187046540435318</v>
      </c>
      <c r="H10" s="9">
        <f t="shared" ref="H10:H12" si="12">B10*D10*(D10+1)/(1+$B$5)^(D10+2)</f>
        <v>67.619646249494878</v>
      </c>
      <c r="I10" s="1"/>
      <c r="J10" s="1"/>
      <c r="K10" s="5">
        <f t="shared" si="7"/>
        <v>-100</v>
      </c>
      <c r="L10" s="6" cm="1">
        <f t="array" ref="L10">100*SUMPRODUCT($B$9:$B$12/(1+$B$5+K10/10000)^$D$9:$D$12)/$B$16</f>
        <v>101.66807877543688</v>
      </c>
      <c r="M10" s="6">
        <f t="shared" si="0"/>
        <v>101.64641979029534</v>
      </c>
      <c r="N10" s="6">
        <f t="shared" si="1"/>
        <v>101.66782606345916</v>
      </c>
      <c r="O10" s="51">
        <f t="shared" si="2"/>
        <v>21.658985141542075</v>
      </c>
      <c r="P10" s="51">
        <f t="shared" si="3"/>
        <v>0.25271197772269716</v>
      </c>
      <c r="Q10" s="53">
        <f t="shared" si="4"/>
        <v>-100</v>
      </c>
      <c r="R10" s="51">
        <f t="shared" si="5"/>
        <v>21.658985141542075</v>
      </c>
      <c r="S10" s="51">
        <f t="shared" si="6"/>
        <v>0.25271197772269716</v>
      </c>
    </row>
    <row r="11" spans="1:19" x14ac:dyDescent="0.3">
      <c r="A11" s="1" t="s">
        <v>15</v>
      </c>
      <c r="B11" s="30">
        <v>48.81</v>
      </c>
      <c r="C11" s="31">
        <v>378</v>
      </c>
      <c r="D11" s="6">
        <f t="shared" si="8"/>
        <v>1.5</v>
      </c>
      <c r="E11" s="7">
        <f t="shared" si="9"/>
        <v>0.8322753758612933</v>
      </c>
      <c r="F11" s="8">
        <f t="shared" si="10"/>
        <v>40.623361095789726</v>
      </c>
      <c r="G11" s="9">
        <f t="shared" si="11"/>
        <v>60.935041643684585</v>
      </c>
      <c r="H11" s="9">
        <f t="shared" si="12"/>
        <v>119.26046957987515</v>
      </c>
      <c r="I11" s="1"/>
      <c r="J11" s="1"/>
      <c r="K11" s="5">
        <f t="shared" si="7"/>
        <v>-50</v>
      </c>
      <c r="L11" s="6" cm="1">
        <f t="array" ref="L11">100*SUMPRODUCT($B$9:$B$12/(1+$B$5+K11/10000)^$D$9:$D$12)/$B$16</f>
        <v>100.82859287801189</v>
      </c>
      <c r="M11" s="6">
        <f t="shared" si="0"/>
        <v>100.82320989514766</v>
      </c>
      <c r="N11" s="6">
        <f t="shared" si="1"/>
        <v>100.82856146343862</v>
      </c>
      <c r="O11" s="51">
        <f t="shared" si="2"/>
        <v>5.3829828642335542</v>
      </c>
      <c r="P11" s="51">
        <f t="shared" si="3"/>
        <v>3.141457327160424E-2</v>
      </c>
      <c r="Q11" s="53">
        <f t="shared" si="4"/>
        <v>-50</v>
      </c>
      <c r="R11" s="51">
        <f t="shared" si="5"/>
        <v>5.3829828642335542</v>
      </c>
      <c r="S11" s="51">
        <f t="shared" si="6"/>
        <v>3.141457327160424E-2</v>
      </c>
    </row>
    <row r="12" spans="1:19" x14ac:dyDescent="0.3">
      <c r="A12" s="1" t="s">
        <v>16</v>
      </c>
      <c r="B12" s="30">
        <v>1048.81</v>
      </c>
      <c r="C12" s="31">
        <v>504</v>
      </c>
      <c r="D12" s="6">
        <f t="shared" si="8"/>
        <v>2</v>
      </c>
      <c r="E12" s="7">
        <f t="shared" si="9"/>
        <v>0.78286953688976757</v>
      </c>
      <c r="F12" s="8">
        <f t="shared" si="10"/>
        <v>821.08139898535705</v>
      </c>
      <c r="G12" s="9">
        <f t="shared" si="11"/>
        <v>1642.1627979707141</v>
      </c>
      <c r="H12" s="9">
        <f t="shared" si="12"/>
        <v>3856.7976874348137</v>
      </c>
      <c r="I12" s="1"/>
      <c r="J12" s="1"/>
      <c r="K12" s="5">
        <f t="shared" si="7"/>
        <v>0</v>
      </c>
      <c r="L12" s="6" cm="1">
        <f t="array" ref="L12">100*SUMPRODUCT($B$9:$B$12/(1+$B$5+K12/10000)^$D$9:$D$12)/$B$16</f>
        <v>100</v>
      </c>
      <c r="M12" s="6">
        <f t="shared" si="0"/>
        <v>100</v>
      </c>
      <c r="N12" s="6">
        <f t="shared" si="1"/>
        <v>100</v>
      </c>
      <c r="O12" s="51">
        <f t="shared" si="2"/>
        <v>0</v>
      </c>
      <c r="P12" s="51">
        <f t="shared" si="3"/>
        <v>0</v>
      </c>
      <c r="Q12" s="53">
        <f t="shared" si="4"/>
        <v>0</v>
      </c>
      <c r="R12" s="51">
        <f t="shared" si="5"/>
        <v>0</v>
      </c>
      <c r="S12" s="51">
        <f t="shared" si="6"/>
        <v>0</v>
      </c>
    </row>
    <row r="13" spans="1:19" x14ac:dyDescent="0.3">
      <c r="A13" s="10" t="s">
        <v>17</v>
      </c>
      <c r="B13" s="10"/>
      <c r="C13" s="10"/>
      <c r="D13" s="10"/>
      <c r="E13" s="10"/>
      <c r="F13" s="11">
        <f>SUM(F9:F12)</f>
        <v>950.80432933204361</v>
      </c>
      <c r="G13" s="12">
        <f>SUM(G9:G12)</f>
        <v>1769.2411475100648</v>
      </c>
      <c r="H13" s="12">
        <f>SUM(H9:H12)</f>
        <v>4070.6354398080189</v>
      </c>
      <c r="I13" s="1"/>
      <c r="J13" s="1"/>
      <c r="K13" s="5">
        <f t="shared" si="7"/>
        <v>50</v>
      </c>
      <c r="L13" s="6" cm="1">
        <f t="array" ref="L13">100*SUMPRODUCT($B$9:$B$12/(1+$B$5+K13/10000)^$D$9:$D$12)/$B$16</f>
        <v>99.182110601917003</v>
      </c>
      <c r="M13" s="6">
        <f t="shared" si="0"/>
        <v>99.17679010485233</v>
      </c>
      <c r="N13" s="6">
        <f t="shared" si="1"/>
        <v>99.182141673143292</v>
      </c>
      <c r="O13" s="51">
        <f t="shared" si="2"/>
        <v>5.3204970646731908</v>
      </c>
      <c r="P13" s="51">
        <f t="shared" si="3"/>
        <v>-3.1071226288759135E-2</v>
      </c>
      <c r="Q13" s="53">
        <f t="shared" si="4"/>
        <v>50</v>
      </c>
      <c r="R13" s="51">
        <f t="shared" si="5"/>
        <v>5.3204970646731908</v>
      </c>
      <c r="S13" s="51">
        <f t="shared" si="6"/>
        <v>-3.1071226288759135E-2</v>
      </c>
    </row>
    <row r="14" spans="1:19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5">
        <f t="shared" si="7"/>
        <v>100</v>
      </c>
      <c r="L14" s="6" cm="1">
        <f t="array" ref="L14">100*SUMPRODUCT($B$9:$B$12/(1+$B$5+K14/10000)^$D$9:$D$12)/$B$16</f>
        <v>98.374739264890351</v>
      </c>
      <c r="M14" s="6">
        <f t="shared" si="0"/>
        <v>98.35358020970466</v>
      </c>
      <c r="N14" s="6">
        <f t="shared" si="1"/>
        <v>98.374986482868493</v>
      </c>
      <c r="O14" s="51">
        <f t="shared" si="2"/>
        <v>21.1590551856915</v>
      </c>
      <c r="P14" s="51">
        <f t="shared" si="3"/>
        <v>-0.24721797814208912</v>
      </c>
      <c r="Q14" s="53">
        <f t="shared" si="4"/>
        <v>100</v>
      </c>
      <c r="R14" s="51">
        <f t="shared" si="5"/>
        <v>21.1590551856915</v>
      </c>
      <c r="S14" s="51">
        <f t="shared" si="6"/>
        <v>-0.24721797814208912</v>
      </c>
    </row>
    <row r="15" spans="1:19" x14ac:dyDescent="0.3">
      <c r="A15" s="2" t="s">
        <v>18</v>
      </c>
      <c r="B15" s="1"/>
      <c r="C15" s="1"/>
      <c r="D15" s="1"/>
      <c r="E15" s="1"/>
      <c r="F15" s="1"/>
      <c r="G15" s="1"/>
      <c r="H15" s="1"/>
      <c r="I15" s="1"/>
      <c r="J15" s="1"/>
      <c r="K15" s="5">
        <f t="shared" si="7"/>
        <v>150</v>
      </c>
      <c r="L15" s="6" cm="1">
        <f t="array" ref="L15">100*SUMPRODUCT($B$9:$B$12/(1+$B$5+K15/10000)^$D$9:$D$12)/$B$16</f>
        <v>97.577704583417415</v>
      </c>
      <c r="M15" s="6">
        <f t="shared" si="0"/>
        <v>97.53037031455699</v>
      </c>
      <c r="N15" s="6">
        <f t="shared" si="1"/>
        <v>97.578534429175619</v>
      </c>
      <c r="O15" s="51">
        <f t="shared" si="2"/>
        <v>47.334268860424793</v>
      </c>
      <c r="P15" s="51">
        <f t="shared" si="3"/>
        <v>-0.82984575820432838</v>
      </c>
      <c r="Q15" s="53">
        <f t="shared" si="4"/>
        <v>150</v>
      </c>
      <c r="R15" s="51">
        <f t="shared" si="5"/>
        <v>47.334268860424793</v>
      </c>
      <c r="S15" s="51">
        <f t="shared" si="6"/>
        <v>-0.82984575820432838</v>
      </c>
    </row>
    <row r="16" spans="1:19" x14ac:dyDescent="0.3">
      <c r="A16" s="1" t="s">
        <v>19</v>
      </c>
      <c r="B16" s="13">
        <f>F13</f>
        <v>950.80432933204361</v>
      </c>
      <c r="C16" s="1"/>
      <c r="D16" s="1"/>
      <c r="E16" s="1"/>
      <c r="F16" s="1"/>
      <c r="G16" s="1"/>
      <c r="H16" s="1"/>
      <c r="I16" s="1"/>
      <c r="J16" s="1"/>
      <c r="K16" s="5">
        <f t="shared" si="7"/>
        <v>200</v>
      </c>
      <c r="L16" s="6" cm="1">
        <f t="array" ref="L16">100*SUMPRODUCT($B$9:$B$12/(1+$B$5+K16/10000)^$D$9:$D$12)/$B$16</f>
        <v>96.790829061369109</v>
      </c>
      <c r="M16" s="6">
        <f t="shared" si="0"/>
        <v>96.70716041940932</v>
      </c>
      <c r="N16" s="6">
        <f t="shared" si="1"/>
        <v>96.792785512064668</v>
      </c>
      <c r="O16" s="51">
        <f t="shared" si="2"/>
        <v>83.668641959789625</v>
      </c>
      <c r="P16" s="51">
        <f t="shared" si="3"/>
        <v>-1.9564506955589422</v>
      </c>
      <c r="Q16" s="53">
        <f t="shared" si="4"/>
        <v>200</v>
      </c>
      <c r="R16" s="51">
        <f t="shared" si="5"/>
        <v>83.668641959789625</v>
      </c>
      <c r="S16" s="51">
        <f t="shared" si="6"/>
        <v>-1.9564506955589422</v>
      </c>
    </row>
    <row r="17" spans="1:19" x14ac:dyDescent="0.3">
      <c r="A17" s="1" t="s">
        <v>20</v>
      </c>
      <c r="B17" s="14">
        <f>G13/B16</f>
        <v>1.8607836469917918</v>
      </c>
      <c r="C17" s="1"/>
      <c r="D17" s="1"/>
      <c r="E17" s="1"/>
      <c r="F17" s="1"/>
      <c r="G17" s="1"/>
      <c r="H17" s="1"/>
      <c r="I17" s="1"/>
      <c r="J17" s="1"/>
      <c r="K17" s="5">
        <f t="shared" si="7"/>
        <v>250</v>
      </c>
      <c r="L17" s="6" cm="1">
        <f t="array" ref="L17">100*SUMPRODUCT($B$9:$B$12/(1+$B$5+K17/10000)^$D$9:$D$12)/$B$16</f>
        <v>96.013939011128045</v>
      </c>
      <c r="M17" s="6">
        <f t="shared" si="0"/>
        <v>95.88395052426165</v>
      </c>
      <c r="N17" s="6">
        <f t="shared" si="1"/>
        <v>96.017739731535627</v>
      </c>
      <c r="O17" s="51">
        <f t="shared" si="2"/>
        <v>129.98848686639519</v>
      </c>
      <c r="P17" s="51">
        <f t="shared" si="3"/>
        <v>-3.800720407582503</v>
      </c>
      <c r="Q17" s="53">
        <f t="shared" si="4"/>
        <v>250</v>
      </c>
      <c r="R17" s="51">
        <f t="shared" si="5"/>
        <v>129.98848686639519</v>
      </c>
      <c r="S17" s="51">
        <f t="shared" si="6"/>
        <v>-3.800720407582503</v>
      </c>
    </row>
    <row r="18" spans="1:19" x14ac:dyDescent="0.3">
      <c r="A18" s="1" t="s">
        <v>21</v>
      </c>
      <c r="B18" s="14">
        <f>B17/(1+B5)</f>
        <v>1.6464197902953386</v>
      </c>
      <c r="C18" s="1"/>
      <c r="D18" s="1"/>
      <c r="E18" s="1"/>
      <c r="F18" s="1"/>
      <c r="G18" s="1"/>
      <c r="H18" s="1"/>
      <c r="I18" s="1"/>
      <c r="J18" s="1"/>
      <c r="K18" s="5">
        <f t="shared" si="7"/>
        <v>300</v>
      </c>
      <c r="L18" s="6" cm="1">
        <f t="array" ref="L18">100*SUMPRODUCT($B$9:$B$12/(1+$B$5+K18/10000)^$D$9:$D$12)/$B$16</f>
        <v>95.246864455752274</v>
      </c>
      <c r="M18" s="6">
        <f t="shared" si="0"/>
        <v>95.06074062911398</v>
      </c>
      <c r="N18" s="6">
        <f t="shared" si="1"/>
        <v>95.25339708758851</v>
      </c>
      <c r="O18" s="51">
        <f t="shared" si="2"/>
        <v>186.12382663829408</v>
      </c>
      <c r="P18" s="51">
        <f t="shared" si="3"/>
        <v>-6.5326318362366464</v>
      </c>
      <c r="Q18" s="53">
        <f t="shared" si="4"/>
        <v>300</v>
      </c>
      <c r="R18" s="51">
        <f t="shared" si="5"/>
        <v>186.12382663829408</v>
      </c>
      <c r="S18" s="51">
        <f t="shared" si="6"/>
        <v>-6.5326318362366464</v>
      </c>
    </row>
    <row r="19" spans="1:19" x14ac:dyDescent="0.3">
      <c r="A19" s="1" t="s">
        <v>22</v>
      </c>
      <c r="B19" s="15">
        <f>B18*B6*1000000*0.0001</f>
        <v>16464.197902953387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9" x14ac:dyDescent="0.3">
      <c r="A20" s="1" t="s">
        <v>23</v>
      </c>
      <c r="B20" s="16">
        <f>H13/B16</f>
        <v>4.2812546327673013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9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9" x14ac:dyDescent="0.3">
      <c r="A22" s="2" t="s">
        <v>24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9" x14ac:dyDescent="0.3">
      <c r="A23" s="1" t="s">
        <v>25</v>
      </c>
      <c r="B23" s="29">
        <v>200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9" x14ac:dyDescent="0.3">
      <c r="A24" s="1" t="s">
        <v>26</v>
      </c>
      <c r="B24" s="17">
        <f>B23/10000</f>
        <v>0.02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9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9" x14ac:dyDescent="0.3">
      <c r="A26" s="4" t="s">
        <v>27</v>
      </c>
      <c r="B26" s="4" t="s">
        <v>28</v>
      </c>
      <c r="C26" s="4" t="s">
        <v>29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9" x14ac:dyDescent="0.3">
      <c r="A27" s="1" t="s">
        <v>30</v>
      </c>
      <c r="B27" s="18">
        <f>-B18*B24*B6*1000000/1000</f>
        <v>-3292.8395805906771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9" x14ac:dyDescent="0.3">
      <c r="A28" s="1" t="s">
        <v>31</v>
      </c>
      <c r="B28" s="18">
        <f>(-B18*B24+0.5*B20*B24^2)*B6*1000000/1000</f>
        <v>-3207.2144879353309</v>
      </c>
      <c r="C28" s="19">
        <f>B28-B27</f>
        <v>85.62509265534618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9" x14ac:dyDescent="0.3">
      <c r="A29" s="1" t="s">
        <v>32</v>
      </c>
      <c r="B29" s="18" cm="1">
        <f t="array" ref="B29">(SUMPRODUCT($B$9:$B$12/(1+$B$5+$B$24)^$D$9:$D$12)/$B$16-1)*B6*1000000/1000</f>
        <v>-3209.1709386308785</v>
      </c>
      <c r="C29" s="19">
        <f>B29-B28</f>
        <v>-1.9564506955475736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9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9" x14ac:dyDescent="0.3">
      <c r="A31" s="20" t="str">
        <f>"Leitura: a correção de convexidade "&amp;IF(C28&gt;=0,"recupera","devolve")&amp;" R$ "&amp;TEXT(ABS(C28),"#.##0")&amp;" mil da estimativa da reta; o resíduo de R$ "&amp;TEXT(ABS(C29),"#.##0")&amp;" mil contra o exato é o termo de terceira ordem."</f>
        <v>Leitura: a correção de convexidade recupera R$ 86 mil da estimativa da reta; o resíduo de R$ 2 mil contra o exato é o termo de terceira ordem.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9" x14ac:dyDescent="0.3">
      <c r="A32" s="21" t="s">
        <v>33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3">
      <c r="A34" s="2" t="s">
        <v>34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3">
      <c r="A35" s="1" t="s">
        <v>35</v>
      </c>
      <c r="B35" s="28">
        <v>0.13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">
      <c r="A36" s="4" t="s">
        <v>36</v>
      </c>
      <c r="B36" s="4" t="s">
        <v>37</v>
      </c>
      <c r="C36" s="4" t="s">
        <v>38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">
      <c r="A37" s="1">
        <v>1</v>
      </c>
      <c r="B37" s="6">
        <f>A37*(A37+1)/(1+$B$35)^2</f>
        <v>1.5662933667475922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">
      <c r="A38" s="1">
        <v>2</v>
      </c>
      <c r="B38" s="6">
        <f>A38*(A38+1)/(1+$B$35)^2</f>
        <v>4.6988801002427767</v>
      </c>
      <c r="C38" s="22">
        <f>B38/B37</f>
        <v>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3">
      <c r="A39" s="1">
        <v>4</v>
      </c>
      <c r="B39" s="6">
        <f>A39*(A39+1)/(1+$B$35)^2</f>
        <v>15.662933667475922</v>
      </c>
      <c r="C39" s="22">
        <f>B39/B38</f>
        <v>3.3333333333333335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3">
      <c r="A40" s="20" t="str">
        <f>"Leitura: dobrar o prazo mais que dobra a convexidade — de 1 para 2 anos ela cresce "&amp;TEXT(C38,"0,0")&amp;"× e de 2 para 4 anos, "&amp;TEXT(C39,"0,0")&amp;"×. A convexidade cresce com o quadrado do prazo."</f>
        <v>Leitura: dobrar o prazo mais que dobra a convexidade — de 1 para 2 anos ela cresce 3,0× e de 2 para 4 anos, 3,3×. A convexidade cresce com o quadrado do prazo.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3">
      <c r="A42" s="2" t="s">
        <v>39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3">
      <c r="A43" s="4" t="s">
        <v>40</v>
      </c>
      <c r="B43" s="4" t="s">
        <v>41</v>
      </c>
      <c r="C43" s="4" t="s">
        <v>42</v>
      </c>
      <c r="D43" s="4" t="s">
        <v>43</v>
      </c>
      <c r="E43" s="4" t="s">
        <v>44</v>
      </c>
      <c r="F43" s="4" t="s">
        <v>45</v>
      </c>
      <c r="G43" s="4" t="s">
        <v>46</v>
      </c>
      <c r="H43" s="4" t="s">
        <v>47</v>
      </c>
      <c r="I43" s="4" t="s">
        <v>48</v>
      </c>
      <c r="J43" s="1"/>
      <c r="K43" s="1"/>
      <c r="L43" s="1"/>
      <c r="M43" s="1"/>
      <c r="N43" s="1"/>
    </row>
    <row r="44" spans="1:14" x14ac:dyDescent="0.3">
      <c r="A44" s="1" t="s">
        <v>49</v>
      </c>
      <c r="B44" s="31">
        <v>100</v>
      </c>
      <c r="C44" s="32">
        <v>0.88</v>
      </c>
      <c r="D44" s="31">
        <v>8800</v>
      </c>
      <c r="E44" s="32">
        <v>1.57</v>
      </c>
      <c r="F44" s="23">
        <f>B44/$B$48</f>
        <v>0.25</v>
      </c>
      <c r="G44" s="24">
        <f>F44*C44</f>
        <v>0.22</v>
      </c>
      <c r="H44" s="24">
        <f>F44*E44</f>
        <v>0.39250000000000002</v>
      </c>
      <c r="I44" s="23">
        <f>IF($H$48=0,0,H44/$H$48)</f>
        <v>0.26837606837606837</v>
      </c>
      <c r="J44" s="1"/>
      <c r="K44" s="1"/>
      <c r="L44" s="1"/>
      <c r="M44" s="1"/>
      <c r="N44" s="1"/>
    </row>
    <row r="45" spans="1:14" x14ac:dyDescent="0.3">
      <c r="A45" s="1" t="s">
        <v>50</v>
      </c>
      <c r="B45" s="31">
        <v>100</v>
      </c>
      <c r="C45" s="32">
        <v>1.65</v>
      </c>
      <c r="D45" s="31">
        <v>16500</v>
      </c>
      <c r="E45" s="32">
        <v>4.28</v>
      </c>
      <c r="F45" s="23">
        <f t="shared" ref="F45:F47" si="13">B45/$B$48</f>
        <v>0.25</v>
      </c>
      <c r="G45" s="24">
        <f t="shared" ref="G45:G47" si="14">F45*C45</f>
        <v>0.41249999999999998</v>
      </c>
      <c r="H45" s="24">
        <f t="shared" ref="H45:H47" si="15">F45*E45</f>
        <v>1.07</v>
      </c>
      <c r="I45" s="23">
        <f t="shared" ref="I45:I47" si="16">IF($H$48=0,0,H45/$H$48)</f>
        <v>0.73162393162393158</v>
      </c>
      <c r="J45" s="1"/>
      <c r="K45" s="1"/>
      <c r="L45" s="1"/>
      <c r="M45" s="1"/>
      <c r="N45" s="1"/>
    </row>
    <row r="46" spans="1:14" x14ac:dyDescent="0.3">
      <c r="A46" s="1" t="s">
        <v>51</v>
      </c>
      <c r="B46" s="31">
        <v>100</v>
      </c>
      <c r="C46" s="32">
        <v>0</v>
      </c>
      <c r="D46" s="31">
        <v>0</v>
      </c>
      <c r="E46" s="32">
        <v>0</v>
      </c>
      <c r="F46" s="23">
        <f t="shared" si="13"/>
        <v>0.25</v>
      </c>
      <c r="G46" s="24">
        <f t="shared" si="14"/>
        <v>0</v>
      </c>
      <c r="H46" s="24">
        <f t="shared" si="15"/>
        <v>0</v>
      </c>
      <c r="I46" s="23">
        <f t="shared" si="16"/>
        <v>0</v>
      </c>
      <c r="J46" s="1"/>
      <c r="K46" s="1"/>
      <c r="L46" s="1"/>
      <c r="M46" s="1"/>
      <c r="N46" s="1"/>
    </row>
    <row r="47" spans="1:14" x14ac:dyDescent="0.3">
      <c r="A47" s="1" t="s">
        <v>52</v>
      </c>
      <c r="B47" s="31">
        <v>100</v>
      </c>
      <c r="C47" s="32">
        <v>0</v>
      </c>
      <c r="D47" s="31">
        <v>0</v>
      </c>
      <c r="E47" s="32">
        <v>0</v>
      </c>
      <c r="F47" s="23">
        <f t="shared" si="13"/>
        <v>0.25</v>
      </c>
      <c r="G47" s="24">
        <f t="shared" si="14"/>
        <v>0</v>
      </c>
      <c r="H47" s="24">
        <f t="shared" si="15"/>
        <v>0</v>
      </c>
      <c r="I47" s="23">
        <f t="shared" si="16"/>
        <v>0</v>
      </c>
      <c r="J47" s="1"/>
      <c r="K47" s="1"/>
      <c r="L47" s="1"/>
      <c r="M47" s="1"/>
      <c r="N47" s="1"/>
    </row>
    <row r="48" spans="1:14" x14ac:dyDescent="0.3">
      <c r="A48" s="10" t="s">
        <v>17</v>
      </c>
      <c r="B48" s="25">
        <f>SUM(B44:B47)</f>
        <v>400</v>
      </c>
      <c r="C48" s="10"/>
      <c r="D48" s="25">
        <f>SUM(D44:D47)</f>
        <v>25300</v>
      </c>
      <c r="E48" s="10"/>
      <c r="F48" s="26">
        <f>SUM(F44:F47)</f>
        <v>1</v>
      </c>
      <c r="G48" s="27">
        <f>SUM(G44:G47)</f>
        <v>0.63249999999999995</v>
      </c>
      <c r="H48" s="27">
        <f>SUM(H44:H47)</f>
        <v>1.4625000000000001</v>
      </c>
      <c r="I48" s="26">
        <f>SUM(I44:I47)</f>
        <v>1</v>
      </c>
      <c r="J48" s="1"/>
      <c r="K48" s="1"/>
      <c r="L48" s="1"/>
      <c r="M48" s="1"/>
      <c r="N48" s="1"/>
    </row>
    <row r="49" spans="1:1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3">
      <c r="A50" s="2" t="s">
        <v>53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3">
      <c r="A51" s="1" t="s">
        <v>54</v>
      </c>
      <c r="B51" s="15">
        <f>D48</f>
        <v>25300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3">
      <c r="A52" s="1" t="s">
        <v>55</v>
      </c>
      <c r="B52" s="16">
        <f>G48</f>
        <v>0.63249999999999995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3">
      <c r="A53" s="1" t="s">
        <v>56</v>
      </c>
      <c r="B53" s="16">
        <f>H48</f>
        <v>1.4625000000000001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3">
      <c r="A54" s="20" t="str">
        <f>"Leitura: dominada pelos fluxos longos — a NTN-F contribui "&amp;TEXT(I45,"0%")&amp;" da convexidade da carteira com "&amp;TEXT(F45,"0%")&amp;" do valor."</f>
        <v>Leitura: dominada pelos fluxos longos — a NTN-F contribui 73% da convexidade da carteira com 25% do valor.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3">
      <c r="A55" s="21" t="s">
        <v>57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3">
      <c r="A56" s="2" t="s">
        <v>193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</sheetData>
  <sheetProtection sheet="1" objects="1" scenarios="1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CD98-7E70-494D-B23C-FDB64EF8FF06}">
  <dimension ref="A1:E45"/>
  <sheetViews>
    <sheetView showGridLines="0" tabSelected="1" workbookViewId="0">
      <selection activeCell="B7" sqref="B7"/>
    </sheetView>
  </sheetViews>
  <sheetFormatPr defaultRowHeight="14.4" x14ac:dyDescent="0.3"/>
  <cols>
    <col min="1" max="5" width="27.77734375" customWidth="1"/>
  </cols>
  <sheetData>
    <row r="1" spans="1:5" ht="21" x14ac:dyDescent="0.4">
      <c r="A1" s="33" t="s">
        <v>88</v>
      </c>
      <c r="B1" s="34"/>
      <c r="C1" s="34"/>
      <c r="D1" s="34"/>
      <c r="E1" s="34"/>
    </row>
    <row r="2" spans="1:5" x14ac:dyDescent="0.3">
      <c r="A2" s="35" t="s">
        <v>89</v>
      </c>
      <c r="B2" s="34"/>
      <c r="C2" s="34"/>
      <c r="D2" s="34"/>
      <c r="E2" s="34"/>
    </row>
    <row r="3" spans="1:5" x14ac:dyDescent="0.3">
      <c r="A3" s="34"/>
      <c r="B3" s="34"/>
      <c r="C3" s="34"/>
      <c r="D3" s="34"/>
      <c r="E3" s="34"/>
    </row>
    <row r="4" spans="1:5" ht="15.6" x14ac:dyDescent="0.3">
      <c r="A4" s="36" t="s">
        <v>90</v>
      </c>
      <c r="B4" s="34"/>
      <c r="C4" s="34"/>
      <c r="D4" s="34"/>
      <c r="E4" s="34"/>
    </row>
    <row r="5" spans="1:5" x14ac:dyDescent="0.3">
      <c r="A5" s="34" t="s">
        <v>91</v>
      </c>
      <c r="B5" s="34"/>
      <c r="C5" s="34"/>
      <c r="D5" s="34"/>
      <c r="E5" s="34"/>
    </row>
    <row r="6" spans="1:5" x14ac:dyDescent="0.3">
      <c r="A6" s="37" t="s">
        <v>92</v>
      </c>
      <c r="B6" s="37" t="s">
        <v>93</v>
      </c>
      <c r="C6" s="37" t="s">
        <v>94</v>
      </c>
      <c r="D6" s="37" t="s">
        <v>95</v>
      </c>
      <c r="E6" s="37" t="s">
        <v>96</v>
      </c>
    </row>
    <row r="7" spans="1:5" x14ac:dyDescent="0.3">
      <c r="A7" s="34" t="s">
        <v>19</v>
      </c>
      <c r="B7" s="44"/>
      <c r="C7" s="38">
        <f>Simulador!B16</f>
        <v>950.80432933204361</v>
      </c>
      <c r="D7" s="34">
        <v>0.05</v>
      </c>
      <c r="E7" s="39" t="str">
        <f>IF(B7="","— responda",IF(ABS(B7-C7)&lt;=D7,"✓ correto","✗ revise"))</f>
        <v>— responda</v>
      </c>
    </row>
    <row r="8" spans="1:5" x14ac:dyDescent="0.3">
      <c r="A8" s="34" t="s">
        <v>97</v>
      </c>
      <c r="B8" s="44"/>
      <c r="C8" s="40">
        <f>Simulador!B18</f>
        <v>1.6464197902953386</v>
      </c>
      <c r="D8" s="34">
        <v>0.02</v>
      </c>
      <c r="E8" s="39" t="str">
        <f>IF(B8="","— responda",IF(ABS(B8-C8)&lt;=D8,"✓ correto","✗ revise"))</f>
        <v>— responda</v>
      </c>
    </row>
    <row r="9" spans="1:5" x14ac:dyDescent="0.3">
      <c r="A9" s="34" t="s">
        <v>98</v>
      </c>
      <c r="B9" s="44"/>
      <c r="C9" s="41">
        <f>Simulador!B19</f>
        <v>16464.197902953387</v>
      </c>
      <c r="D9" s="34">
        <v>100</v>
      </c>
      <c r="E9" s="39" t="str">
        <f>IF(B9="","— responda",IF(ABS(B9-C9)&lt;=D9,"✓ correto","✗ revise"))</f>
        <v>— responda</v>
      </c>
    </row>
    <row r="10" spans="1:5" x14ac:dyDescent="0.3">
      <c r="A10" s="34"/>
      <c r="B10" s="34"/>
      <c r="C10" s="34"/>
      <c r="D10" s="34"/>
      <c r="E10" s="34"/>
    </row>
    <row r="11" spans="1:5" ht="15.6" x14ac:dyDescent="0.3">
      <c r="A11" s="36" t="s">
        <v>99</v>
      </c>
      <c r="B11" s="34"/>
      <c r="C11" s="34"/>
      <c r="D11" s="34"/>
      <c r="E11" s="34"/>
    </row>
    <row r="12" spans="1:5" x14ac:dyDescent="0.3">
      <c r="A12" s="34" t="s">
        <v>100</v>
      </c>
      <c r="B12" s="34"/>
      <c r="C12" s="34"/>
      <c r="D12" s="34"/>
      <c r="E12" s="34"/>
    </row>
    <row r="13" spans="1:5" x14ac:dyDescent="0.3">
      <c r="A13" s="34" t="s">
        <v>101</v>
      </c>
      <c r="B13" s="34"/>
      <c r="C13" s="34"/>
      <c r="D13" s="34"/>
      <c r="E13" s="34"/>
    </row>
    <row r="14" spans="1:5" x14ac:dyDescent="0.3">
      <c r="A14" s="34" t="s">
        <v>102</v>
      </c>
      <c r="B14" s="44">
        <v>0.13</v>
      </c>
      <c r="C14" s="34"/>
      <c r="D14" s="34"/>
      <c r="E14" s="34"/>
    </row>
    <row r="15" spans="1:5" x14ac:dyDescent="0.3">
      <c r="A15" s="34" t="s">
        <v>103</v>
      </c>
      <c r="B15" s="44">
        <v>252</v>
      </c>
      <c r="C15" s="34"/>
      <c r="D15" s="34"/>
      <c r="E15" s="34"/>
    </row>
    <row r="16" spans="1:5" x14ac:dyDescent="0.3">
      <c r="A16" s="34" t="s">
        <v>59</v>
      </c>
      <c r="B16" s="44">
        <v>200</v>
      </c>
      <c r="C16" s="34"/>
      <c r="D16" s="34"/>
      <c r="E16" s="34"/>
    </row>
    <row r="17" spans="1:5" x14ac:dyDescent="0.3">
      <c r="A17" s="34" t="s">
        <v>104</v>
      </c>
      <c r="B17" s="44">
        <v>100</v>
      </c>
      <c r="C17" s="34"/>
      <c r="D17" s="34"/>
      <c r="E17" s="34"/>
    </row>
    <row r="18" spans="1:5" x14ac:dyDescent="0.3">
      <c r="A18" s="34" t="s">
        <v>105</v>
      </c>
      <c r="B18" s="34">
        <f>B15/252</f>
        <v>1</v>
      </c>
      <c r="C18" s="34"/>
      <c r="D18" s="34"/>
      <c r="E18" s="34"/>
    </row>
    <row r="19" spans="1:5" x14ac:dyDescent="0.3">
      <c r="A19" s="34" t="s">
        <v>106</v>
      </c>
      <c r="B19" s="40">
        <f>B18/(1+B14)</f>
        <v>0.88495575221238942</v>
      </c>
      <c r="C19" s="34"/>
      <c r="D19" s="34"/>
      <c r="E19" s="34"/>
    </row>
    <row r="20" spans="1:5" x14ac:dyDescent="0.3">
      <c r="A20" s="34"/>
      <c r="B20" s="34"/>
      <c r="C20" s="34"/>
      <c r="D20" s="34"/>
      <c r="E20" s="34"/>
    </row>
    <row r="21" spans="1:5" x14ac:dyDescent="0.3">
      <c r="A21" s="37" t="s">
        <v>107</v>
      </c>
      <c r="B21" s="37" t="s">
        <v>93</v>
      </c>
      <c r="C21" s="37" t="s">
        <v>94</v>
      </c>
      <c r="D21" s="37" t="s">
        <v>95</v>
      </c>
      <c r="E21" s="37" t="s">
        <v>96</v>
      </c>
    </row>
    <row r="22" spans="1:5" x14ac:dyDescent="0.3">
      <c r="A22" s="34" t="s">
        <v>108</v>
      </c>
      <c r="B22" s="44"/>
      <c r="C22" s="42">
        <f>-B19*(B16/10000)*B17*1000000/1000</f>
        <v>-1769.9115044247787</v>
      </c>
      <c r="D22" s="34">
        <v>15</v>
      </c>
      <c r="E22" s="39" t="str">
        <f>IF(B22="","— responda",IF(ABS(B22-C22)&lt;=D22,"✓ correto","✗ revise"))</f>
        <v>— responda</v>
      </c>
    </row>
    <row r="23" spans="1:5" x14ac:dyDescent="0.3">
      <c r="A23" s="34" t="s">
        <v>109</v>
      </c>
      <c r="B23" s="44"/>
      <c r="C23" s="42">
        <f>(((1+B14)/(1+B14+B16/10000))^B18-1)*B17*1000000/1000</f>
        <v>-1739.1304347826099</v>
      </c>
      <c r="D23" s="34">
        <v>15</v>
      </c>
      <c r="E23" s="39" t="str">
        <f>IF(B23="","— responda",IF(ABS(B23-C23)&lt;=D23,"✓ correto","✗ revise"))</f>
        <v>— responda</v>
      </c>
    </row>
    <row r="24" spans="1:5" x14ac:dyDescent="0.3">
      <c r="A24" s="34" t="s">
        <v>110</v>
      </c>
      <c r="B24" s="44"/>
      <c r="C24" s="42">
        <f>C23-C22</f>
        <v>30.781069642168859</v>
      </c>
      <c r="D24" s="34">
        <v>15</v>
      </c>
      <c r="E24" s="39" t="str">
        <f>IF(B24="","— responda",IF(ABS(B24-C24)&lt;=D24,"✓ correto","✗ revise"))</f>
        <v>— responda</v>
      </c>
    </row>
    <row r="25" spans="1:5" x14ac:dyDescent="0.3">
      <c r="A25" s="43" t="s">
        <v>111</v>
      </c>
      <c r="B25" s="34"/>
      <c r="C25" s="34"/>
      <c r="D25" s="34"/>
      <c r="E25" s="34"/>
    </row>
    <row r="26" spans="1:5" x14ac:dyDescent="0.3">
      <c r="A26" s="34"/>
      <c r="B26" s="34"/>
      <c r="C26" s="34"/>
      <c r="D26" s="34"/>
      <c r="E26" s="34"/>
    </row>
    <row r="27" spans="1:5" ht="15.6" x14ac:dyDescent="0.3">
      <c r="A27" s="36" t="s">
        <v>112</v>
      </c>
      <c r="B27" s="34"/>
      <c r="C27" s="34"/>
      <c r="D27" s="34"/>
      <c r="E27" s="34"/>
    </row>
    <row r="28" spans="1:5" x14ac:dyDescent="0.3">
      <c r="A28" s="34" t="s">
        <v>113</v>
      </c>
      <c r="B28" s="34"/>
      <c r="C28" s="34"/>
      <c r="D28" s="34"/>
      <c r="E28" s="34"/>
    </row>
    <row r="29" spans="1:5" x14ac:dyDescent="0.3">
      <c r="A29" s="34" t="s">
        <v>114</v>
      </c>
      <c r="B29" s="44"/>
      <c r="C29" s="34" t="s">
        <v>115</v>
      </c>
      <c r="D29" s="34"/>
      <c r="E29" s="34" t="str">
        <f>IF(B29="","— responda",IF(B29="primeiro termo","✓ correto","✗ revise"))</f>
        <v>— responda</v>
      </c>
    </row>
    <row r="30" spans="1:5" x14ac:dyDescent="0.3">
      <c r="A30" s="34" t="s">
        <v>116</v>
      </c>
      <c r="B30" s="44"/>
      <c r="C30" s="34" t="s">
        <v>117</v>
      </c>
      <c r="D30" s="34"/>
      <c r="E30" s="34" t="str">
        <f>IF(B30="","— responda",IF(B30="segundo termo","✓ correto","✗ revise"))</f>
        <v>— responda</v>
      </c>
    </row>
    <row r="31" spans="1:5" x14ac:dyDescent="0.3">
      <c r="A31" s="34"/>
      <c r="B31" s="34"/>
      <c r="C31" s="34"/>
      <c r="D31" s="34"/>
      <c r="E31" s="34"/>
    </row>
    <row r="32" spans="1:5" ht="15.6" x14ac:dyDescent="0.3">
      <c r="A32" s="36" t="s">
        <v>118</v>
      </c>
      <c r="B32" s="34"/>
      <c r="C32" s="34"/>
      <c r="D32" s="34"/>
      <c r="E32" s="34"/>
    </row>
    <row r="33" spans="1:5" x14ac:dyDescent="0.3">
      <c r="A33" s="34" t="s">
        <v>119</v>
      </c>
      <c r="B33" s="34"/>
      <c r="C33" s="34"/>
      <c r="D33" s="34"/>
      <c r="E33" s="34"/>
    </row>
    <row r="34" spans="1:5" ht="45" customHeight="1" x14ac:dyDescent="0.3">
      <c r="A34" s="34" t="s">
        <v>93</v>
      </c>
      <c r="B34" s="55"/>
      <c r="C34" s="55"/>
      <c r="D34" s="55"/>
      <c r="E34" s="55"/>
    </row>
    <row r="35" spans="1:5" x14ac:dyDescent="0.3">
      <c r="A35" s="54"/>
      <c r="B35" s="34"/>
      <c r="C35" s="34"/>
      <c r="D35" s="34"/>
      <c r="E35" s="34"/>
    </row>
    <row r="36" spans="1:5" x14ac:dyDescent="0.3">
      <c r="A36" s="34" t="s">
        <v>120</v>
      </c>
      <c r="B36" s="44"/>
      <c r="C36" s="34" t="str">
        <f>IF(UPPER(B36)="SIM","O DV01 está em reais por bp — grandezas na mesma unidade monetária somam-se diretamente. A duration é uma medida percentual: para virar carteira precisa do peso de valor de mercado de cada posição (Σ peso × MD). O mesmo vale para a convexidade.","(oculta)")</f>
        <v>(oculta)</v>
      </c>
      <c r="D36" s="34"/>
      <c r="E36" s="34"/>
    </row>
    <row r="37" spans="1:5" x14ac:dyDescent="0.3">
      <c r="A37" s="34"/>
      <c r="B37" s="34"/>
      <c r="C37" s="34"/>
      <c r="D37" s="34"/>
      <c r="E37" s="34"/>
    </row>
    <row r="38" spans="1:5" ht="15.6" x14ac:dyDescent="0.3">
      <c r="A38" s="36" t="s">
        <v>121</v>
      </c>
      <c r="B38" s="34"/>
      <c r="C38" s="34"/>
      <c r="D38" s="34"/>
      <c r="E38" s="34"/>
    </row>
    <row r="39" spans="1:5" x14ac:dyDescent="0.3">
      <c r="A39" s="34" t="s">
        <v>122</v>
      </c>
      <c r="B39" s="34"/>
      <c r="C39" s="34"/>
      <c r="D39" s="34"/>
      <c r="E39" s="34"/>
    </row>
    <row r="40" spans="1:5" x14ac:dyDescent="0.3">
      <c r="A40" s="34" t="s">
        <v>123</v>
      </c>
      <c r="B40" s="44"/>
      <c r="C40" s="34" t="s">
        <v>124</v>
      </c>
      <c r="D40" s="34"/>
      <c r="E40" s="34" t="str">
        <f>IF(B40="","— responda",IF(B40="maior","✓ correto","✗ revise"))</f>
        <v>— responda</v>
      </c>
    </row>
    <row r="41" spans="1:5" x14ac:dyDescent="0.3">
      <c r="A41" s="34"/>
      <c r="B41" s="34"/>
      <c r="C41" s="34"/>
      <c r="D41" s="34"/>
      <c r="E41" s="34"/>
    </row>
    <row r="42" spans="1:5" x14ac:dyDescent="0.3">
      <c r="A42" s="34"/>
      <c r="B42" s="34"/>
      <c r="C42" s="34"/>
      <c r="D42" s="34"/>
      <c r="E42" s="34"/>
    </row>
    <row r="43" spans="1:5" x14ac:dyDescent="0.3">
      <c r="A43" s="34"/>
      <c r="B43" s="34"/>
      <c r="C43" s="34"/>
      <c r="D43" s="34"/>
      <c r="E43" s="34"/>
    </row>
    <row r="44" spans="1:5" x14ac:dyDescent="0.3">
      <c r="A44" s="34"/>
      <c r="B44" s="34"/>
      <c r="C44" s="34"/>
      <c r="D44" s="34"/>
      <c r="E44" s="34"/>
    </row>
    <row r="45" spans="1:5" x14ac:dyDescent="0.3">
      <c r="A45" s="34"/>
      <c r="B45" s="34"/>
      <c r="C45" s="34"/>
      <c r="D45" s="34"/>
      <c r="E45" s="34"/>
    </row>
  </sheetData>
  <sheetProtection sheet="1" objects="1" scenarios="1"/>
  <mergeCells count="1">
    <mergeCell ref="B34:E34"/>
  </mergeCells>
  <dataValidations count="2">
    <dataValidation type="list" allowBlank="1" showInputMessage="1" showErrorMessage="1" sqref="B29 B30" xr:uid="{83FB3465-8EA8-41E7-B109-5A8D89174A6B}">
      <formula1>"primeiro termo,segundo termo"</formula1>
    </dataValidation>
    <dataValidation type="list" allowBlank="1" showInputMessage="1" showErrorMessage="1" sqref="B40" xr:uid="{ACF66FDB-297C-4E7F-9F00-6432551E37A5}">
      <formula1>"maior,menor,igual"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D4F3-C31D-4329-B6EA-3EBCD894C36C}">
  <dimension ref="A1:A90"/>
  <sheetViews>
    <sheetView showGridLines="0" workbookViewId="0"/>
  </sheetViews>
  <sheetFormatPr defaultRowHeight="14.4" x14ac:dyDescent="0.3"/>
  <cols>
    <col min="1" max="1" width="140.77734375" style="1" customWidth="1"/>
  </cols>
  <sheetData>
    <row r="1" spans="1:1" x14ac:dyDescent="0.3">
      <c r="A1" s="2" t="s">
        <v>125</v>
      </c>
    </row>
    <row r="2" spans="1:1" x14ac:dyDescent="0.3">
      <c r="A2" s="35" t="s">
        <v>126</v>
      </c>
    </row>
    <row r="4" spans="1:1" x14ac:dyDescent="0.3">
      <c r="A4" s="1" t="s">
        <v>127</v>
      </c>
    </row>
    <row r="6" spans="1:1" x14ac:dyDescent="0.3">
      <c r="A6" s="1" t="s">
        <v>128</v>
      </c>
    </row>
    <row r="8" spans="1:1" x14ac:dyDescent="0.3">
      <c r="A8" s="1" t="s">
        <v>129</v>
      </c>
    </row>
    <row r="10" spans="1:1" x14ac:dyDescent="0.3">
      <c r="A10" s="1" t="s">
        <v>130</v>
      </c>
    </row>
    <row r="11" spans="1:1" x14ac:dyDescent="0.3">
      <c r="A11" s="1" t="s">
        <v>131</v>
      </c>
    </row>
    <row r="12" spans="1:1" x14ac:dyDescent="0.3">
      <c r="A12" s="1" t="s">
        <v>132</v>
      </c>
    </row>
    <row r="14" spans="1:1" x14ac:dyDescent="0.3">
      <c r="A14" s="1" t="s">
        <v>133</v>
      </c>
    </row>
    <row r="16" spans="1:1" x14ac:dyDescent="0.3">
      <c r="A16" s="1" t="s">
        <v>134</v>
      </c>
    </row>
    <row r="18" spans="1:1" x14ac:dyDescent="0.3">
      <c r="A18" s="1" t="s">
        <v>135</v>
      </c>
    </row>
    <row r="20" spans="1:1" x14ac:dyDescent="0.3">
      <c r="A20" s="1" t="s">
        <v>136</v>
      </c>
    </row>
    <row r="22" spans="1:1" x14ac:dyDescent="0.3">
      <c r="A22" s="1" t="s">
        <v>137</v>
      </c>
    </row>
    <row r="24" spans="1:1" x14ac:dyDescent="0.3">
      <c r="A24" s="1" t="s">
        <v>138</v>
      </c>
    </row>
    <row r="26" spans="1:1" x14ac:dyDescent="0.3">
      <c r="A26" s="1" t="s">
        <v>139</v>
      </c>
    </row>
    <row r="27" spans="1:1" x14ac:dyDescent="0.3">
      <c r="A27" s="1" t="s">
        <v>140</v>
      </c>
    </row>
    <row r="28" spans="1:1" x14ac:dyDescent="0.3">
      <c r="A28" s="1" t="s">
        <v>141</v>
      </c>
    </row>
    <row r="29" spans="1:1" x14ac:dyDescent="0.3">
      <c r="A29" s="1" t="s">
        <v>142</v>
      </c>
    </row>
    <row r="30" spans="1:1" x14ac:dyDescent="0.3">
      <c r="A30" s="1" t="s">
        <v>143</v>
      </c>
    </row>
    <row r="31" spans="1:1" x14ac:dyDescent="0.3">
      <c r="A31" s="1" t="s">
        <v>144</v>
      </c>
    </row>
    <row r="33" spans="1:1" x14ac:dyDescent="0.3">
      <c r="A33" s="1" t="s">
        <v>145</v>
      </c>
    </row>
    <row r="35" spans="1:1" x14ac:dyDescent="0.3">
      <c r="A35" s="1" t="s">
        <v>146</v>
      </c>
    </row>
    <row r="36" spans="1:1" x14ac:dyDescent="0.3">
      <c r="A36" s="1" t="s">
        <v>147</v>
      </c>
    </row>
    <row r="37" spans="1:1" x14ac:dyDescent="0.3">
      <c r="A37" s="1" t="s">
        <v>148</v>
      </c>
    </row>
    <row r="38" spans="1:1" x14ac:dyDescent="0.3">
      <c r="A38" s="1" t="s">
        <v>149</v>
      </c>
    </row>
    <row r="39" spans="1:1" x14ac:dyDescent="0.3">
      <c r="A39" s="1" t="s">
        <v>150</v>
      </c>
    </row>
    <row r="40" spans="1:1" x14ac:dyDescent="0.3">
      <c r="A40" s="1" t="s">
        <v>151</v>
      </c>
    </row>
    <row r="41" spans="1:1" x14ac:dyDescent="0.3">
      <c r="A41" s="1" t="s">
        <v>152</v>
      </c>
    </row>
    <row r="42" spans="1:1" x14ac:dyDescent="0.3">
      <c r="A42" s="1" t="s">
        <v>153</v>
      </c>
    </row>
    <row r="44" spans="1:1" x14ac:dyDescent="0.3">
      <c r="A44" s="1" t="s">
        <v>154</v>
      </c>
    </row>
    <row r="46" spans="1:1" x14ac:dyDescent="0.3">
      <c r="A46" s="1" t="s">
        <v>155</v>
      </c>
    </row>
    <row r="47" spans="1:1" x14ac:dyDescent="0.3">
      <c r="A47" s="1" t="s">
        <v>156</v>
      </c>
    </row>
    <row r="48" spans="1:1" x14ac:dyDescent="0.3">
      <c r="A48" s="1" t="s">
        <v>157</v>
      </c>
    </row>
    <row r="49" spans="1:1" x14ac:dyDescent="0.3">
      <c r="A49" s="1" t="s">
        <v>158</v>
      </c>
    </row>
    <row r="50" spans="1:1" x14ac:dyDescent="0.3">
      <c r="A50" s="1" t="s">
        <v>159</v>
      </c>
    </row>
    <row r="51" spans="1:1" x14ac:dyDescent="0.3">
      <c r="A51" s="1" t="s">
        <v>160</v>
      </c>
    </row>
    <row r="52" spans="1:1" x14ac:dyDescent="0.3">
      <c r="A52" s="1" t="s">
        <v>161</v>
      </c>
    </row>
    <row r="54" spans="1:1" x14ac:dyDescent="0.3">
      <c r="A54" s="1" t="s">
        <v>162</v>
      </c>
    </row>
    <row r="55" spans="1:1" x14ac:dyDescent="0.3">
      <c r="A55" s="1" t="s">
        <v>163</v>
      </c>
    </row>
    <row r="57" spans="1:1" x14ac:dyDescent="0.3">
      <c r="A57" s="1" t="s">
        <v>164</v>
      </c>
    </row>
    <row r="58" spans="1:1" x14ac:dyDescent="0.3">
      <c r="A58" s="1" t="s">
        <v>165</v>
      </c>
    </row>
    <row r="59" spans="1:1" x14ac:dyDescent="0.3">
      <c r="A59" s="1" t="s">
        <v>166</v>
      </c>
    </row>
    <row r="60" spans="1:1" x14ac:dyDescent="0.3">
      <c r="A60" s="1" t="s">
        <v>167</v>
      </c>
    </row>
    <row r="61" spans="1:1" x14ac:dyDescent="0.3">
      <c r="A61" s="1" t="s">
        <v>168</v>
      </c>
    </row>
    <row r="62" spans="1:1" x14ac:dyDescent="0.3">
      <c r="A62" s="1" t="s">
        <v>169</v>
      </c>
    </row>
    <row r="63" spans="1:1" x14ac:dyDescent="0.3">
      <c r="A63" s="1" t="s">
        <v>170</v>
      </c>
    </row>
    <row r="65" spans="1:1" x14ac:dyDescent="0.3">
      <c r="A65" s="1" t="s">
        <v>171</v>
      </c>
    </row>
    <row r="66" spans="1:1" x14ac:dyDescent="0.3">
      <c r="A66" s="1" t="s">
        <v>172</v>
      </c>
    </row>
    <row r="68" spans="1:1" x14ac:dyDescent="0.3">
      <c r="A68" s="1" t="s">
        <v>173</v>
      </c>
    </row>
    <row r="69" spans="1:1" x14ac:dyDescent="0.3">
      <c r="A69" s="1" t="s">
        <v>174</v>
      </c>
    </row>
    <row r="71" spans="1:1" x14ac:dyDescent="0.3">
      <c r="A71" s="1" t="s">
        <v>175</v>
      </c>
    </row>
    <row r="73" spans="1:1" x14ac:dyDescent="0.3">
      <c r="A73" s="1" t="s">
        <v>176</v>
      </c>
    </row>
    <row r="75" spans="1:1" x14ac:dyDescent="0.3">
      <c r="A75" s="1" t="s">
        <v>177</v>
      </c>
    </row>
    <row r="76" spans="1:1" x14ac:dyDescent="0.3">
      <c r="A76" s="1" t="s">
        <v>178</v>
      </c>
    </row>
    <row r="77" spans="1:1" x14ac:dyDescent="0.3">
      <c r="A77" s="1" t="s">
        <v>179</v>
      </c>
    </row>
    <row r="78" spans="1:1" x14ac:dyDescent="0.3">
      <c r="A78" s="1" t="s">
        <v>180</v>
      </c>
    </row>
    <row r="79" spans="1:1" x14ac:dyDescent="0.3">
      <c r="A79" s="1" t="s">
        <v>181</v>
      </c>
    </row>
    <row r="81" spans="1:1" x14ac:dyDescent="0.3">
      <c r="A81" s="1" t="s">
        <v>182</v>
      </c>
    </row>
    <row r="83" spans="1:1" x14ac:dyDescent="0.3">
      <c r="A83" s="1" t="s">
        <v>183</v>
      </c>
    </row>
    <row r="85" spans="1:1" x14ac:dyDescent="0.3">
      <c r="A85" s="1" t="s">
        <v>184</v>
      </c>
    </row>
    <row r="87" spans="1:1" x14ac:dyDescent="0.3">
      <c r="A87" s="1" t="s">
        <v>185</v>
      </c>
    </row>
    <row r="88" spans="1:1" x14ac:dyDescent="0.3">
      <c r="A88" s="1" t="s">
        <v>186</v>
      </c>
    </row>
    <row r="89" spans="1:1" x14ac:dyDescent="0.3">
      <c r="A89" s="1" t="s">
        <v>187</v>
      </c>
    </row>
    <row r="90" spans="1:1" x14ac:dyDescent="0.3">
      <c r="A90" s="1" t="s">
        <v>188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2026-08-13T17:41:18Z</dcterms:created>
  <dcterms:modified xsi:type="dcterms:W3CDTF">2026-08-31T23:55:42Z</dcterms:modified>
</cp:coreProperties>
</file>