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28B8BE25-AF89-48E4-A583-03194E23B8CF}" xr6:coauthVersionLast="47" xr6:coauthVersionMax="47" xr10:uidLastSave="{00000000-0000-0000-0000-000000000000}"/>
  <bookViews>
    <workbookView xWindow="-108" yWindow="-108" windowWidth="23256" windowHeight="12456" xr2:uid="{E97828FD-7ED0-4351-BF1E-8D16F958427E}"/>
  </bookViews>
  <sheets>
    <sheet name="Instruções" sheetId="1" r:id="rId1"/>
    <sheet name="Simulador" sheetId="2" r:id="rId2"/>
    <sheet name="Cenários" sheetId="3" r:id="rId3"/>
    <sheet name="Promp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2" i="3" l="1"/>
  <c r="C31" i="3"/>
  <c r="D30" i="3"/>
  <c r="C30" i="3"/>
  <c r="C23" i="3"/>
  <c r="C22" i="3"/>
  <c r="C15" i="3"/>
  <c r="D14" i="3"/>
  <c r="C8" i="3"/>
  <c r="C7" i="3"/>
  <c r="C41" i="2"/>
  <c r="C36" i="2"/>
  <c r="C35" i="2"/>
  <c r="C34" i="2"/>
  <c r="C29" i="2"/>
  <c r="C20" i="2"/>
  <c r="C17" i="2"/>
  <c r="B37" i="2" s="1"/>
  <c r="C16" i="2"/>
  <c r="C15" i="2"/>
  <c r="C14" i="2"/>
  <c r="C10" i="2"/>
  <c r="C40" i="2" l="1"/>
  <c r="C25" i="2"/>
  <c r="C27" i="2" s="1"/>
  <c r="C46" i="2"/>
  <c r="B47" i="2" s="1"/>
  <c r="D21" i="2"/>
  <c r="C21" i="2"/>
</calcChain>
</file>

<file path=xl/sharedStrings.xml><?xml version="1.0" encoding="utf-8"?>
<sst xmlns="http://schemas.openxmlformats.org/spreadsheetml/2006/main" count="172" uniqueCount="164">
  <si>
    <t>Simulador 3 · DDI — cupom cambial e o futuro de cupom</t>
  </si>
  <si>
    <t>Módulo 2 · Bloco 5 (5.1–5.2 e 5.4) · Dados ilustrativos. Edite apenas as células azuis.</t>
  </si>
  <si>
    <t>5.1 · INPUTS</t>
  </si>
  <si>
    <t>S — dólar spot (R$/US$)</t>
  </si>
  <si>
    <t>F — dólar futuro do prazo (R$/US$)</t>
  </si>
  <si>
    <t>i_DI — taxa em reais (a.a., base 252 úteis composta)</t>
  </si>
  <si>
    <t>du — dias úteis do prazo</t>
  </si>
  <si>
    <t>dc — dias corridos do prazo</t>
  </si>
  <si>
    <t>→ à vista</t>
  </si>
  <si>
    <t>→ contratado a termo</t>
  </si>
  <si>
    <t>→ base 252 dias úteis, COMPOSTA</t>
  </si>
  <si>
    <t>→ base do cupom: 360 dias corridos, LINEAR</t>
  </si>
  <si>
    <t>Validação dos inputs</t>
  </si>
  <si>
    <t>5.2 · O CUPOM PELA PARIDADE COBERTA DE JUROS</t>
  </si>
  <si>
    <t>F / S = (1+i_DI)^(du/252) / (1 + cupom × dc/360)</t>
  </si>
  <si>
    <t>1. Fator DI do prazo</t>
  </si>
  <si>
    <t>(1+i_DI)^(du/252)</t>
  </si>
  <si>
    <t>2. Razão cambial S/F</t>
  </si>
  <si>
    <t>quanto de dólar volta no futuro</t>
  </si>
  <si>
    <t>3. Rendimento em dólar no período</t>
  </si>
  <si>
    <t>(1+i_DI)^(du/252) × S/F − 1</t>
  </si>
  <si>
    <t>4. CUPOM CAMBIAL (a.a.) — anualização LINEAR base 360</t>
  </si>
  <si>
    <t>× 360/dc — nunca composta, nunca 252</t>
  </si>
  <si>
    <t>O ERRO CLÁSSICO — armadilha nº 1 do módulo</t>
  </si>
  <si>
    <t>Cupom anualizado com base COMPOSTA 252 úteis</t>
  </si>
  <si>
    <t>ERRADO: base composta 252 aplicada ao cupom</t>
  </si>
  <si>
    <t>Diferença contra o valor correto (bps)</t>
  </si>
  <si>
    <t>O cupom é taxa LINEAR, base 360 dias corridos — em choque proposital com o 252 úteis composto do DI. Metade de qualquer turma troca as bases na primeira tentativa.</t>
  </si>
  <si>
    <t>5.3 · APREÇANDO O DDI (futuro de cupom cambial da B3)</t>
  </si>
  <si>
    <t>PU do DDI (pontos)</t>
  </si>
  <si>
    <t>100.000 / (1 + cupom × dc/360)</t>
  </si>
  <si>
    <t>Valor de face do contrato (US$)</t>
  </si>
  <si>
    <t>fixo por contrato</t>
  </si>
  <si>
    <t>Valor financeiro por contrato (US$)</t>
  </si>
  <si>
    <t>PU × US$ 0,50/ponto — face US$ 50 mil, PU cotado em pontos (100.000 no vencimento)</t>
  </si>
  <si>
    <t>N — exposição cambial a cobrir (US$)</t>
  </si>
  <si>
    <t>Nº de contratos para o hedge</t>
  </si>
  <si>
    <t>N / 50.000</t>
  </si>
  <si>
    <t>5.4 · O CUPOM SUJO EM AÇÃO (a PTAX de D−1)</t>
  </si>
  <si>
    <t>PTAX de D−1 (usada na correção cambial do ajuste)</t>
  </si>
  <si>
    <t>Dólar de fechamento em D</t>
  </si>
  <si>
    <t>1. Variação cambial de 1 dia</t>
  </si>
  <si>
    <t>2. Resíduo cambial por contrato (R$)</t>
  </si>
  <si>
    <t>face US$ 50 mil × (dólar D − PTAX D−1)</t>
  </si>
  <si>
    <t>3. Resíduo na carteira de hedge (R$)</t>
  </si>
  <si>
    <t>5.5 · PARA QUE SERVE (decisões de tesouraria)</t>
  </si>
  <si>
    <t>Custo aproximado do hedge cambial (p.p.)</t>
  </si>
  <si>
    <t>≈ DI − cupom — aproximação de sala</t>
  </si>
  <si>
    <t>Depreciação contratada no futuro</t>
  </si>
  <si>
    <t>F/S − 1 — aproximação de sala</t>
  </si>
  <si>
    <t>Captação externa swapada</t>
  </si>
  <si>
    <t>Taxa externa em dólar (a.a.)</t>
  </si>
  <si>
    <t>Custo da captação local (CDI + p.p.)</t>
  </si>
  <si>
    <t>All-in da captação externa swapada (CDI + p.p.)</t>
  </si>
  <si>
    <t>≈ CDI + (taxa externa − cupom)</t>
  </si>
  <si>
    <t>Módulo 2 · Bloco 5 (seções 5.1–5.2 e 5.4) · Instruções de uso</t>
  </si>
  <si>
    <t>1. O que é o cupom cambial</t>
  </si>
  <si>
    <t>O cupom cambial é a taxa de juro em dólar dentro do Brasil. Ele não é cotado diretamente: sai da paridade coberta de juros, confrontando o dólar à vista, o dólar futuro e a curva de DI.</t>
  </si>
  <si>
    <t>Se a igualdade se rompe, a arbitragem é mecânica: captar dólar, vender à vista, aplicar em CDI e recomprar o dólar no futuro. É essa arbitragem que amarra as três pontas.</t>
  </si>
  <si>
    <t>2. O DDI — futuro de cupom cambial da B3</t>
  </si>
  <si>
    <t>Valor de face de US$ 50 mil por contrato. O preço é cotado em PU, que converge para 100.000 no vencimento:</t>
  </si>
  <si>
    <t>PU = 100.000 / (1 + cupom × dc/360)</t>
  </si>
  <si>
    <t>Liquidação por ajuste diário — a mesma mecânica do DI1, em outra moeda.</t>
  </si>
  <si>
    <t>3. O defeito de nascença: o "cupom sujo"</t>
  </si>
  <si>
    <t>A correção cambial do ajuste usa a PTAX de D−1, não o câmbio de D. Sobra, portanto, uma exposição cambial residual de um dia: o "cupom sujo". Quem opera DDI carrega, sem querer, um pequeno risco de câmbio junto com o risco de taxa.</t>
  </si>
  <si>
    <t>A solução de mercado para isolar o cupom limpo é o FRC — objeto do Simulador 4.</t>
  </si>
  <si>
    <t>⚠ ARMADILHA DE MESA — A BASE DO CUPOM</t>
  </si>
  <si>
    <t>O cupom é uma taxa LINEAR, base 360 dias corridos — em choque proposital com o 252 dias úteis COMPOSTO do DI. Quem aplicar a base 252 composta no cupom erra a marcação.</t>
  </si>
  <si>
    <t>"Metade de qualquer turma troca as bases na primeira tentativa." O bloco vermelho da aba Simulador calcula de propósito o número errado, ao lado do certo, e mostra a diferença em bps.</t>
  </si>
  <si>
    <t>4. Cupom (onshore) ≠ taxa em dólar offshore</t>
  </si>
  <si>
    <t>O cupom é o juro do dólar dentro da fronteira brasileira; a taxa em dólar offshore é o juro do dólar fora dela. A diferença entre as duas é o preço da fronteira: conversibilidade, fluxo de capitais e risco-país. Cupom subindo raramente significa expectativa de juro americano — significa dólar escasso aqui.</t>
  </si>
  <si>
    <t>5. Como usar</t>
  </si>
  <si>
    <t>Aba Simulador: altere apenas as células de fundo azul (S, F, i_DI, du, dc, N do hedge, PTAX D−1, dólar de fechamento, taxa externa e captação local). Todo o resto é fórmula e está bloqueado.</t>
  </si>
  <si>
    <t>Aba Cenários: responda nas células azuis; a coluna de verificação compara com o gabarito por fórmula (tolerância de 0,03 p.p.).</t>
  </si>
  <si>
    <t>Teste de sanidade: troque dc de 365 para 360 mantendo o resto — o cupom deve subir levemente, porque a anualização linear passa a dividir por um prazo menor.</t>
  </si>
  <si>
    <t>6. Dados</t>
  </si>
  <si>
    <t>Todos os números são ILUSTRATIVOS, para fins didáticos. Em aplicação real, use PU e ajustes da B3, PTAX do BCB e curvas da ANBIMA.</t>
  </si>
  <si>
    <t>Cenários — verificação automática</t>
  </si>
  <si>
    <t>Responda nas células azuis. Tolerância de 0,03 p.p.; gabaritos calculados por fórmula.</t>
  </si>
  <si>
    <t>CENÁRIO A · O exemplo do material</t>
  </si>
  <si>
    <t>S = 5,00; F = 5,40; DI = 13,60%; du = 252; dc = 365. Qual o cupom cambial do prazo?</t>
  </si>
  <si>
    <t>Sua resposta (cupom a.a.)</t>
  </si>
  <si>
    <t>Gabarito</t>
  </si>
  <si>
    <t>Verificação</t>
  </si>
  <si>
    <t>CENÁRIO B · Caça ao erro</t>
  </si>
  <si>
    <t>Um estagiário reportou 5,19% para o mesmo conjunto de dados do Cenário A. Qual foi o erro e qual o valor correto?</t>
  </si>
  <si>
    <t>Erro cometido (escolha na lista)</t>
  </si>
  <si>
    <t>Valor correto (cupom a.a.)</t>
  </si>
  <si>
    <t>usou base composta 252</t>
  </si>
  <si>
    <t>Por quê? A anualização composta 252 sobre um rendimento em dólar de 5,1852% no período devolve 5,19% — mas o cupom anualiza LINEARMENTE por 360/dc, e 5,1852% × 360/365 = 5,11%.</t>
  </si>
  <si>
    <t>CENÁRIO C · Choque de escassez (exercício-síntese)</t>
  </si>
  <si>
    <t>Após um choque fiscal, o cupom de 1 ano vai a 5,45%. Mantendo S = 5,00, DI = 13,60%, du = 252 e dc = 365, qual F é consistente com a paridade?</t>
  </si>
  <si>
    <t>Cupom do cenário</t>
  </si>
  <si>
    <t>Sua resposta (F, R$/US$)</t>
  </si>
  <si>
    <t>Por quê? Cupom subindo = dólar escasso onshore, prêmio de conversibilidade — não expectativa de juro americano. Com o cupom maior no denominador, o F consistente CAI: o mercado paga menos pelo dólar futuro porque o dólar à vista virou caro de financiar.</t>
  </si>
  <si>
    <t>CENÁRIO D · Decisão de captação</t>
  </si>
  <si>
    <t>Com cupom de 5,11%, taxa externa em dólar de 6,0% e captação local a CDI + 1,50, captar dentro ou fora?</t>
  </si>
  <si>
    <t>Sua resposta (digite DENTRO ou FORA)</t>
  </si>
  <si>
    <t>Economia estimada (bps)</t>
  </si>
  <si>
    <t>Prompt utilizado para gerar este simulador</t>
  </si>
  <si>
    <t>Especificação integral · Simulador 3 · DDI · gerado em 13/08/2026</t>
  </si>
  <si>
    <t># Spec — Simulador 3 · DDI (cupom cambial e o futuro de cupom)</t>
  </si>
  <si>
    <t>&gt; **Prompt para o Claude for Excel.** Crie um arquivo `Simulador_3_DDI.xlsx` seguindo integralmente esta especificação. Ao final, cole o texto completo deste documento na aba "Prompt".</t>
  </si>
  <si>
    <t>## 1. Contexto e objetivo</t>
  </si>
  <si>
    <t>Simulador do Módulo 2, Bloco 5 (seções 5.1–5.2 e 5.4). Três competências:</t>
  </si>
  <si>
    <t>1. **Extrair o cupom cambial da paridade coberta de juros** (spot, dólar futuro e DI);</t>
  </si>
  <si>
    <t>2. **Apreçar o DDI** (futuro de cupom cambial da B3): PU, valor de face e ajuste;</t>
  </si>
  <si>
    <t>3. **Entender o "cupom sujo"**: a contaminação pela PTAX de D−1 e a exposição cambial residual de um dia.</t>
  </si>
  <si>
    <t>Mensagem pedagógica central e armadilha nº 1 do módulo: *"O cupom é uma taxa LINEAR, base 360 dias corridos — em choque proposital com o 252 dias úteis composto do DI. Quem aplicar a base 252 composta no cupom erra a marcação."* O simulador deve confrontar o aluno com esse erro explicitamente.</t>
  </si>
  <si>
    <t>## 2. Estrutura do arquivo (4 abas, nesta ordem)</t>
  </si>
  <si>
    <t>1. **Instruções** · 2. **Simulador** · 3. **Cenários** · 4. **Prompt**</t>
  </si>
  <si>
    <t>## 3. Convenções visuais</t>
  </si>
  <si>
    <t>Padrão do curso: fundo branco, Arial, títulos `#002C4D`, texto `#202427`, resultados `#0C63AA`, inputs `#DCE9F5` desbloqueados, resto bloqueado (proteção sem senha). Taxas % com 2 casas; câmbio com 4 casas; PU em US$/pontos com 2 casas; dias corridos e úteis como inteiros.</t>
  </si>
  <si>
    <t>## 4. Aba "Instruções"</t>
  </si>
  <si>
    <t>- O que é o cupom cambial (a taxa de juro em dólar dentro do Brasil) e a paridade coberta:</t>
  </si>
  <si>
    <t xml:space="preserve">  `F / S = (1+i_DI)^(du/252) / (1 + cupom × dc/360)`</t>
  </si>
  <si>
    <t xml:space="preserve">  Se a igualdade se rompe, a arbitragem é mecânica (captar dólar, vender à vista, aplicar em CDI, recomprar no futuro).</t>
  </si>
  <si>
    <t>- O DDI: futuro de cupom cambial da B3, valor de face **US$ 50 mil**, `PU = 100.000 / (1 + cupom × dc/360)`, liquidação por ajuste diário — a mesma mecânica do DI1, em outra moeda.</t>
  </si>
  <si>
    <t>- O defeito de nascença: a correção cambial usa a **PTAX de D−1**, deixando exposição cambial residual de um dia — o "cupom sujo". (A solução, o FRC, é objeto do Simulador 4.)</t>
  </si>
  <si>
    <t>- **Armadilha de mesa** (caixa destacada): a base do cupom — linear 360 dc, nunca 252 composto. *"Metade de qualquer turma troca as bases na primeira tentativa."*</t>
  </si>
  <si>
    <t>- Distinção cupom (onshore) ≠ taxa em dólar offshore: a diferença é o preço da fronteira (conversibilidade, fluxo, risco-país).</t>
  </si>
  <si>
    <t>- Aviso de dados ilustrativos (aplicação real: B3, BCB/PTAX, curvas ANBIMA).</t>
  </si>
  <si>
    <t>## 5. Aba "Simulador"</t>
  </si>
  <si>
    <t>### 5.1 Inputs (células azuis)</t>
  </si>
  <si>
    <t>| Campo | Default |</t>
  </si>
  <si>
    <t>|---|---|</t>
  </si>
  <si>
    <t>| S — dólar spot | 5,0000 |</t>
  </si>
  <si>
    <t>| F — dólar futuro do prazo | 5,4000 |</t>
  </si>
  <si>
    <t>| i_DI — taxa em reais (a.a., base 252) | 13,60% |</t>
  </si>
  <si>
    <t>| du — dias úteis do prazo | 252 |</t>
  </si>
  <si>
    <t>| dc — dias corridos do prazo | 365 |</t>
  </si>
  <si>
    <t>Validações: S, F &gt; 0; du, dc inteiros &gt; 0; dc ≥ du.</t>
  </si>
  <si>
    <t>### 5.2 Bloco "O cupom pela paridade" (cálculo aberto)</t>
  </si>
  <si>
    <t>1. Fator DI: `(1+i_DI)^(du/252)` → **1,136000**</t>
  </si>
  <si>
    <t>2. Razão cambial: `S/F` → **0,925926**</t>
  </si>
  <si>
    <t>3. Rendimento em dólar no período: `(1+i_DI)^(du/252) × S/F − 1` → **0,051852**</t>
  </si>
  <si>
    <t>4. Anualizar LINEAR base 360: `× 360/dc` → **cupom ≈ 5,11% a.a.** (resultado final, destaque)</t>
  </si>
  <si>
    <t>5. **Bloco "o erro clássico"** (fundo levemente cinza `#F4F6F9`): calcular o número ERRADO — anualização composta base 252: `(1,051852)^(252/du) − 1` → ≈ **5,19%** — com rótulo em vermelho escuro discreto: "ERRADO: base composta 252 aplicada ao cupom" e a diferença em bps contra o valor correto. Esse confronto é obrigatório.</t>
  </si>
  <si>
    <t>### 5.3 Bloco "Apreçando o DDI"</t>
  </si>
  <si>
    <t>| Item | Fórmula | Com defaults |</t>
  </si>
  <si>
    <t>|---|---|---|</t>
  </si>
  <si>
    <t>| PU do DDI | `100000 / (1 + cupom × dc/360)` | **95.070,42 pontos** |</t>
  </si>
  <si>
    <t>| Valor de face | fixo | US$ 50.000 |</t>
  </si>
  <si>
    <t>| Valor financeiro por contrato | `PU × US$ 0,50/ponto` (convenção didática: explicitar que o contrato vale US$ 50 mil de face e o PU é cotado em pontos) | calculado |</t>
  </si>
  <si>
    <t>| Nº de contratos p/ hedge de US$ N | input azul `N` (default 10.000.000) → `N / 50.000` | 200 |</t>
  </si>
  <si>
    <t>### 5.4 Bloco "O cupom sujo em ação" (mini-simulação da PTAX D−1)</t>
  </si>
  <si>
    <t>- Inputs azuis: PTAX D−1 (default 5,0000) e dólar de fechamento em D (default 5,0500).</t>
  </si>
  <si>
    <t>- Mostrar, em 3 linhas, que a variação de 1 dia do câmbio (aqui +1%) entra na correção do DDI e gera um resíduo de P&amp;L **cambial** — que nada tem a ver com a taxa de juro negociada. Célula de leitura automática: *"Resíduo de X% no ajuste = exposição cambial de 1 dia — o 'sujo' do DDI."*</t>
  </si>
  <si>
    <t>### 5.5 Bloco "Para que serve" (decisões de tesouraria)</t>
  </si>
  <si>
    <t>- Custo do hedge cambial ≈ `DI − cupom` → com defaults ≈ **8,5 p.p.** — e a depreciação contratada `F/S − 1` → **8,0%**. Rotular como aproximações de sala.</t>
  </si>
  <si>
    <t>- Captação externa swapada: input azul `taxa externa em dólar` (default 6,00%) → `all-in ≈ CDI + (taxa externa − cupom)` → **CDI + 0,89 p.p.** Linha de leitura: comparar com input `custo da captação local (CDI+)` (default 1,50) e exibir "captar fora economiza ~X bps" ou o contrário.</t>
  </si>
  <si>
    <t>Sem gráfico (o valor está no confronto de bases e na mecânica do contrato).</t>
  </si>
  <si>
    <t>## 6. Aba "Cenários"</t>
  </si>
  <si>
    <t>Verificação automática padrão (tolerância 0,03 p.p.; gabaritos por fórmula).</t>
  </si>
  <si>
    <t>- **Cenário A (exemplo do material):** S = 5,00; F = 5,40; DI = 13,60%; du = 252; dc = 365. Cupom? Gabarito **≈ 5,11%**.</t>
  </si>
  <si>
    <t>- **Cenário B (caça ao erro):** um estagiário reportou 5,19% para o mesmo conjunto de dados. Qual foi o erro e qual o valor correto? (Célula de escolha por lista: "usou base composta 252" / "inverteu S e F" / "esqueceu o 360/dc" + valor correto.) Gabarito: base composta; 5,11%.</t>
  </si>
  <si>
    <t>- **Cenário C (choque de escassez, do exercício-síntese):** após choque fiscal, o cupom de 1 ano vai a 5,45%. Mantendo S, DI e dc, qual F futuro é consistente com a paridade? Gabarito por fórmula: `F = S × (1+i_DI)^(du/252) / (1 + 0,0545 × dc/360)` ≈ **5,3826**. Linha "Por quê?": cupom subindo = dólar escasso onshore, prêmio de conversibilidade — não expectativa de juro americano.</t>
  </si>
  <si>
    <t>- **Cenário D (decisão):** com cupom 5,11%, taxa externa 6,0% e captação local a CDI + 1,5, captar dentro ou fora? Gabarito: fora (all-in ≈ CDI + 0,9; economia ≈ 60 bps).</t>
  </si>
  <si>
    <t>## 7. Aba "Prompt"</t>
  </si>
  <si>
    <t>Colar o texto integral desta especificação, com título "Prompt utilizado para gerar este simulador" e data.</t>
  </si>
  <si>
    <t>## 8. Critérios de aceite</t>
  </si>
  <si>
    <t>- Defaults: cupom = **5,11%** (2 casas); número "errado" ≈ 5,19% aparece rotulado como erro; PU do DDI consistente com a fórmula.</t>
  </si>
  <si>
    <t>- Trocar dc para 360 mantendo tudo deve elevar levemente o cupom (sanidade da anualização linear).</t>
  </si>
  <si>
    <t>- Apenas células azuis editáveis; aba Prompt contém a spec na íntegra.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</si>
</sst>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.0000"/>
    <numFmt numFmtId="169" formatCode="0.000000"/>
    <numFmt numFmtId="170" formatCode="0.0"/>
  </numFmts>
  <fonts count="15" x14ac:knownFonts="1">
    <font>
      <sz val="11"/>
      <color theme="1"/>
      <name val="Aptos Narrow"/>
      <family val="2"/>
      <scheme val="minor"/>
    </font>
    <font>
      <sz val="10"/>
      <color rgb="FF202427"/>
      <name val="Arial"/>
    </font>
    <font>
      <b/>
      <sz val="16"/>
      <color rgb="FF002C4D"/>
      <name val="Arial"/>
    </font>
    <font>
      <i/>
      <sz val="10"/>
      <color rgb="FF5A6672"/>
      <name val="Arial"/>
    </font>
    <font>
      <b/>
      <sz val="12"/>
      <color rgb="FF002C4D"/>
      <name val="Arial"/>
    </font>
    <font>
      <b/>
      <sz val="10"/>
      <color rgb="FF202427"/>
      <name val="Arial"/>
    </font>
    <font>
      <sz val="10"/>
      <color rgb="FF0C63AA"/>
      <name val="Arial"/>
    </font>
    <font>
      <b/>
      <sz val="14"/>
      <color rgb="FF0C63AA"/>
      <name val="Arial"/>
    </font>
    <font>
      <sz val="10"/>
      <color rgb="FF8B1A1A"/>
      <name val="Arial"/>
    </font>
    <font>
      <b/>
      <sz val="12"/>
      <color rgb="FF8B1A1A"/>
      <name val="Arial"/>
    </font>
    <font>
      <b/>
      <sz val="10"/>
      <color rgb="FF8B1A1A"/>
      <name val="Arial"/>
    </font>
    <font>
      <i/>
      <sz val="10"/>
      <color rgb="FF8B1A1A"/>
      <name val="Arial"/>
    </font>
    <font>
      <b/>
      <sz val="10"/>
      <color rgb="FF0C63AA"/>
      <name val="Arial"/>
    </font>
    <font>
      <b/>
      <sz val="12"/>
      <color rgb="FF0C63AA"/>
      <name val="Arial"/>
    </font>
    <font>
      <b/>
      <sz val="10"/>
      <color rgb="FF002C4D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6F9"/>
        <bgColor indexed="64"/>
      </patternFill>
    </fill>
    <fill>
      <patternFill patternType="solid">
        <fgColor rgb="FFDCE9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69" fontId="6" fillId="2" borderId="0" xfId="0" applyNumberFormat="1" applyFont="1" applyFill="1"/>
    <xf numFmtId="10" fontId="7" fillId="2" borderId="0" xfId="0" applyNumberFormat="1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4" fontId="12" fillId="2" borderId="0" xfId="0" applyNumberFormat="1" applyFont="1" applyFill="1"/>
    <xf numFmtId="4" fontId="6" fillId="2" borderId="0" xfId="0" applyNumberFormat="1" applyFont="1" applyFill="1"/>
    <xf numFmtId="3" fontId="12" fillId="2" borderId="0" xfId="0" applyNumberFormat="1" applyFont="1" applyFill="1"/>
    <xf numFmtId="10" fontId="6" fillId="2" borderId="0" xfId="0" applyNumberFormat="1" applyFont="1" applyFill="1"/>
    <xf numFmtId="2" fontId="12" fillId="2" borderId="0" xfId="0" applyNumberFormat="1" applyFont="1" applyFill="1"/>
    <xf numFmtId="0" fontId="13" fillId="2" borderId="0" xfId="0" applyFont="1" applyFill="1"/>
    <xf numFmtId="168" fontId="6" fillId="2" borderId="0" xfId="0" applyNumberFormat="1" applyFont="1" applyFill="1"/>
    <xf numFmtId="1" fontId="6" fillId="2" borderId="0" xfId="0" applyNumberFormat="1" applyFont="1" applyFill="1"/>
    <xf numFmtId="0" fontId="14" fillId="2" borderId="0" xfId="0" applyFont="1" applyFill="1"/>
    <xf numFmtId="0" fontId="9" fillId="3" borderId="0" xfId="0" applyFont="1" applyFill="1"/>
    <xf numFmtId="0" fontId="1" fillId="3" borderId="0" xfId="0" applyFont="1" applyFill="1"/>
    <xf numFmtId="10" fontId="10" fillId="3" borderId="0" xfId="0" applyNumberFormat="1" applyFont="1" applyFill="1"/>
    <xf numFmtId="0" fontId="10" fillId="3" borderId="0" xfId="0" applyFont="1" applyFill="1"/>
    <xf numFmtId="170" fontId="8" fillId="3" borderId="0" xfId="0" applyNumberFormat="1" applyFont="1" applyFill="1"/>
    <xf numFmtId="0" fontId="11" fillId="3" borderId="0" xfId="0" applyFont="1" applyFill="1"/>
    <xf numFmtId="168" fontId="1" fillId="4" borderId="1" xfId="0" applyNumberFormat="1" applyFont="1" applyFill="1" applyBorder="1" applyProtection="1">
      <protection locked="0"/>
    </xf>
    <xf numFmtId="168" fontId="1" fillId="4" borderId="2" xfId="0" applyNumberFormat="1" applyFont="1" applyFill="1" applyBorder="1" applyProtection="1">
      <protection locked="0"/>
    </xf>
    <xf numFmtId="10" fontId="1" fillId="4" borderId="1" xfId="0" applyNumberFormat="1" applyFont="1" applyFill="1" applyBorder="1" applyProtection="1">
      <protection locked="0"/>
    </xf>
    <xf numFmtId="10" fontId="1" fillId="4" borderId="2" xfId="0" applyNumberFormat="1" applyFont="1" applyFill="1" applyBorder="1" applyProtection="1">
      <protection locked="0"/>
    </xf>
    <xf numFmtId="3" fontId="1" fillId="4" borderId="1" xfId="0" applyNumberFormat="1" applyFont="1" applyFill="1" applyBorder="1" applyProtection="1">
      <protection locked="0"/>
    </xf>
    <xf numFmtId="3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F9B7731-06F3-4552-92B7-1065F84A2A79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29ebead6-6ecf-4d7b-a341-935233814c72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35F86-F08F-4F62-A11D-790968E51AAD}">
  <dimension ref="A1:AZ400"/>
  <sheetViews>
    <sheetView showGridLines="0" tabSelected="1" workbookViewId="0">
      <selection activeCell="B10" sqref="B10"/>
    </sheetView>
  </sheetViews>
  <sheetFormatPr defaultRowHeight="14.4" x14ac:dyDescent="0.3"/>
  <cols>
    <col min="1" max="1" width="3.33203125" customWidth="1"/>
    <col min="2" max="2" width="166.6640625" customWidth="1"/>
  </cols>
  <sheetData>
    <row r="1" spans="1:52" ht="21" x14ac:dyDescent="0.4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x14ac:dyDescent="0.3">
      <c r="A2" s="1"/>
      <c r="B2" s="3" t="s">
        <v>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5.6" x14ac:dyDescent="0.3">
      <c r="A4" s="1"/>
      <c r="B4" s="4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3">
      <c r="A5" s="1"/>
      <c r="B5" s="1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5.6" x14ac:dyDescent="0.3">
      <c r="A6" s="1"/>
      <c r="B6" s="18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3">
      <c r="A7" s="1"/>
      <c r="B7" s="1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5.6" x14ac:dyDescent="0.3">
      <c r="A9" s="1"/>
      <c r="B9" s="4" t="s">
        <v>59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x14ac:dyDescent="0.3">
      <c r="A10" s="1"/>
      <c r="B10" s="1" t="s">
        <v>60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5.6" x14ac:dyDescent="0.3">
      <c r="A11" s="1"/>
      <c r="B11" s="18" t="s">
        <v>61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3">
      <c r="A12" s="1"/>
      <c r="B12" s="1" t="s">
        <v>62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5.6" x14ac:dyDescent="0.3">
      <c r="A14" s="1"/>
      <c r="B14" s="4" t="s">
        <v>63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3">
      <c r="A15" s="1"/>
      <c r="B15" s="1" t="s">
        <v>64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3">
      <c r="A16" s="1"/>
      <c r="B16" s="1" t="s">
        <v>65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5.6" x14ac:dyDescent="0.3">
      <c r="A18" s="1"/>
      <c r="B18" s="9" t="s">
        <v>66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x14ac:dyDescent="0.3">
      <c r="A19" s="1"/>
      <c r="B19" s="10" t="s">
        <v>67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3">
      <c r="A20" s="1"/>
      <c r="B20" s="11" t="s">
        <v>68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5.6" x14ac:dyDescent="0.3">
      <c r="A22" s="1"/>
      <c r="B22" s="4" t="s">
        <v>69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x14ac:dyDescent="0.3">
      <c r="A23" s="1"/>
      <c r="B23" s="1" t="s">
        <v>70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5.6" x14ac:dyDescent="0.3">
      <c r="A25" s="1"/>
      <c r="B25" s="4" t="s">
        <v>71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x14ac:dyDescent="0.3">
      <c r="A26" s="1"/>
      <c r="B26" s="1" t="s">
        <v>72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x14ac:dyDescent="0.3">
      <c r="A27" s="1"/>
      <c r="B27" s="1" t="s">
        <v>73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x14ac:dyDescent="0.3">
      <c r="A28" s="1"/>
      <c r="B28" s="1" t="s">
        <v>74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5.6" x14ac:dyDescent="0.3">
      <c r="A30" s="1"/>
      <c r="B30" s="4" t="s">
        <v>75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x14ac:dyDescent="0.3">
      <c r="A31" s="1"/>
      <c r="B31" s="3" t="s">
        <v>76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E2294-BF26-4060-BE7D-928D10F5CDBC}">
  <dimension ref="A1:AZ400"/>
  <sheetViews>
    <sheetView showGridLines="0" workbookViewId="0"/>
  </sheetViews>
  <sheetFormatPr defaultRowHeight="14.4" x14ac:dyDescent="0.3"/>
  <cols>
    <col min="1" max="1" width="3.33203125" customWidth="1"/>
    <col min="2" max="2" width="61.109375" customWidth="1"/>
    <col min="3" max="3" width="20.33203125" customWidth="1"/>
    <col min="4" max="4" width="77.77734375" customWidth="1"/>
  </cols>
  <sheetData>
    <row r="1" spans="1:52" ht="21" x14ac:dyDescent="0.4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x14ac:dyDescent="0.3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5.6" x14ac:dyDescent="0.3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3">
      <c r="A5" s="1"/>
      <c r="B5" s="1" t="s">
        <v>3</v>
      </c>
      <c r="C5" s="29">
        <v>5</v>
      </c>
      <c r="D5" s="3" t="s">
        <v>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3">
      <c r="A6" s="1"/>
      <c r="B6" s="1" t="s">
        <v>4</v>
      </c>
      <c r="C6" s="29">
        <v>5.4</v>
      </c>
      <c r="D6" s="3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3">
      <c r="A7" s="1"/>
      <c r="B7" s="1" t="s">
        <v>5</v>
      </c>
      <c r="C7" s="31">
        <v>0.13600000000000001</v>
      </c>
      <c r="D7" s="3" t="s">
        <v>10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3">
      <c r="A8" s="1"/>
      <c r="B8" s="1" t="s">
        <v>6</v>
      </c>
      <c r="C8" s="33">
        <v>252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x14ac:dyDescent="0.3">
      <c r="A9" s="1"/>
      <c r="B9" s="1" t="s">
        <v>7</v>
      </c>
      <c r="C9" s="32">
        <v>365</v>
      </c>
      <c r="D9" s="3" t="s">
        <v>11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x14ac:dyDescent="0.3">
      <c r="A10" s="1"/>
      <c r="B10" s="1" t="s">
        <v>12</v>
      </c>
      <c r="C10" s="5" t="str">
        <f>IF(AND(C5&gt;0,C6&gt;0,C8&gt;0,C9&gt;0,C8=INT(C8),C9=INT(C9),C9&gt;=C8),"OK","ERRO: S,F&gt;0; du,dc inteiros&gt;0; dc&gt;=du")</f>
        <v>OK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5.6" x14ac:dyDescent="0.3">
      <c r="A12" s="1"/>
      <c r="B12" s="4" t="s">
        <v>13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3">
      <c r="A13" s="1"/>
      <c r="B13" s="3" t="s">
        <v>14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3">
      <c r="A14" s="1"/>
      <c r="B14" s="1" t="s">
        <v>15</v>
      </c>
      <c r="C14" s="7">
        <f>(1+C7)^(C8/252)</f>
        <v>1.1360000000000001</v>
      </c>
      <c r="D14" s="3" t="s">
        <v>16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3">
      <c r="A15" s="1"/>
      <c r="B15" s="1" t="s">
        <v>17</v>
      </c>
      <c r="C15" s="7">
        <f>C5/C6</f>
        <v>0.92592592592592582</v>
      </c>
      <c r="D15" s="3" t="s">
        <v>18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3">
      <c r="A16" s="1"/>
      <c r="B16" s="1" t="s">
        <v>19</v>
      </c>
      <c r="C16" s="7">
        <f>C14*C15-1</f>
        <v>5.1851851851851816E-2</v>
      </c>
      <c r="D16" s="3" t="s">
        <v>20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7.399999999999999" x14ac:dyDescent="0.3">
      <c r="A17" s="1"/>
      <c r="B17" s="5" t="s">
        <v>21</v>
      </c>
      <c r="C17" s="8">
        <f>C16*360/C9</f>
        <v>5.1141552511415486E-2</v>
      </c>
      <c r="D17" s="3" t="s">
        <v>22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5.6" x14ac:dyDescent="0.3">
      <c r="A19" s="1"/>
      <c r="B19" s="22" t="s">
        <v>23</v>
      </c>
      <c r="C19" s="23"/>
      <c r="D19" s="2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3">
      <c r="A20" s="1"/>
      <c r="B20" s="23" t="s">
        <v>24</v>
      </c>
      <c r="C20" s="24">
        <f>(1+C16)^(252/C8)-1</f>
        <v>5.1851851851851816E-2</v>
      </c>
      <c r="D20" s="25" t="s">
        <v>25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3">
      <c r="A21" s="1"/>
      <c r="B21" s="23" t="s">
        <v>26</v>
      </c>
      <c r="C21" s="26">
        <f>(C20-C17)*10000</f>
        <v>7.1029934043632945</v>
      </c>
      <c r="D21" s="27" t="str">
        <f>"Marcar a "&amp;TEXT(C20,"0,00%")&amp;" em vez de "&amp;TEXT(C17,"0,00%")&amp;" erra a posição em "&amp;TEXT((C20-C17)*10000,"0,0")&amp;" bps."</f>
        <v>Marcar a 5,19% em vez de 5,11% erra a posição em 7,1 bps.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x14ac:dyDescent="0.3">
      <c r="A22" s="1"/>
      <c r="B22" s="27" t="s">
        <v>27</v>
      </c>
      <c r="C22" s="23"/>
      <c r="D22" s="2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5.6" x14ac:dyDescent="0.3">
      <c r="A24" s="1"/>
      <c r="B24" s="4" t="s">
        <v>28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x14ac:dyDescent="0.3">
      <c r="A25" s="1"/>
      <c r="B25" s="1" t="s">
        <v>29</v>
      </c>
      <c r="C25" s="13">
        <f>100000/(1+C17*C9/360)</f>
        <v>95070.42253521127</v>
      </c>
      <c r="D25" s="3" t="s">
        <v>30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x14ac:dyDescent="0.3">
      <c r="A26" s="1"/>
      <c r="B26" s="1" t="s">
        <v>31</v>
      </c>
      <c r="C26" s="14">
        <v>50000</v>
      </c>
      <c r="D26" s="3" t="s">
        <v>32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x14ac:dyDescent="0.3">
      <c r="A27" s="1"/>
      <c r="B27" s="1" t="s">
        <v>33</v>
      </c>
      <c r="C27" s="14">
        <f>C25*0.5</f>
        <v>47535.211267605635</v>
      </c>
      <c r="D27" s="3" t="s">
        <v>34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x14ac:dyDescent="0.3">
      <c r="A28" s="1"/>
      <c r="B28" s="1" t="s">
        <v>35</v>
      </c>
      <c r="C28" s="32">
        <v>10000000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x14ac:dyDescent="0.3">
      <c r="A29" s="1"/>
      <c r="B29" s="1" t="s">
        <v>36</v>
      </c>
      <c r="C29" s="15">
        <f>C28/C26</f>
        <v>200</v>
      </c>
      <c r="D29" s="3" t="s">
        <v>37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5.6" x14ac:dyDescent="0.3">
      <c r="A31" s="1"/>
      <c r="B31" s="4" t="s">
        <v>38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x14ac:dyDescent="0.3">
      <c r="A32" s="1"/>
      <c r="B32" s="1" t="s">
        <v>39</v>
      </c>
      <c r="C32" s="29">
        <v>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x14ac:dyDescent="0.3">
      <c r="A33" s="1"/>
      <c r="B33" s="1" t="s">
        <v>40</v>
      </c>
      <c r="C33" s="28">
        <v>5.05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x14ac:dyDescent="0.3">
      <c r="A34" s="1"/>
      <c r="B34" s="1" t="s">
        <v>41</v>
      </c>
      <c r="C34" s="16">
        <f>C33/C32-1</f>
        <v>1.0000000000000009E-2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x14ac:dyDescent="0.3">
      <c r="A35" s="1"/>
      <c r="B35" s="1" t="s">
        <v>42</v>
      </c>
      <c r="C35" s="14">
        <f>C26*(C33-C32)</f>
        <v>2499.9999999999909</v>
      </c>
      <c r="D35" s="3" t="s">
        <v>43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x14ac:dyDescent="0.3">
      <c r="A36" s="1"/>
      <c r="B36" s="1" t="s">
        <v>44</v>
      </c>
      <c r="C36" s="14">
        <f>C35*C29</f>
        <v>499999.9999999982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x14ac:dyDescent="0.3">
      <c r="A37" s="1"/>
      <c r="B37" s="12" t="str">
        <f>"Resíduo de "&amp;TEXT(C34,"0,00%")&amp;" no ajuste = exposição cambial de 1 dia — o 'sujo' do DDI. Nada a ver com a taxa de juro negociada ("&amp;TEXT(C17,"0,00%")&amp;")."</f>
        <v>Resíduo de 1,00% no ajuste = exposição cambial de 1 dia — o 'sujo' do DDI. Nada a ver com a taxa de juro negociada (5,11%).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5.6" x14ac:dyDescent="0.3">
      <c r="A39" s="1"/>
      <c r="B39" s="4" t="s">
        <v>45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x14ac:dyDescent="0.3">
      <c r="A40" s="1"/>
      <c r="B40" s="1" t="s">
        <v>46</v>
      </c>
      <c r="C40" s="17">
        <f>(C7-C17)*100</f>
        <v>8.4858447488584527</v>
      </c>
      <c r="D40" s="3" t="s">
        <v>47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x14ac:dyDescent="0.3">
      <c r="A41" s="1"/>
      <c r="B41" s="1" t="s">
        <v>48</v>
      </c>
      <c r="C41" s="16">
        <f>C6/C5-1</f>
        <v>8.0000000000000071E-2</v>
      </c>
      <c r="D41" s="3" t="s">
        <v>49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x14ac:dyDescent="0.3">
      <c r="A43" s="1"/>
      <c r="B43" s="5" t="s">
        <v>50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x14ac:dyDescent="0.3">
      <c r="A44" s="1"/>
      <c r="B44" s="1" t="s">
        <v>51</v>
      </c>
      <c r="C44" s="31">
        <v>0.06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x14ac:dyDescent="0.3">
      <c r="A45" s="1"/>
      <c r="B45" s="1" t="s">
        <v>52</v>
      </c>
      <c r="C45" s="34">
        <v>1.5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x14ac:dyDescent="0.3">
      <c r="A46" s="1"/>
      <c r="B46" s="1" t="s">
        <v>53</v>
      </c>
      <c r="C46" s="17">
        <f>(C44-C17)*100</f>
        <v>0.8858447488584511</v>
      </c>
      <c r="D46" s="3" t="s">
        <v>54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x14ac:dyDescent="0.3">
      <c r="A47" s="1"/>
      <c r="B47" s="12" t="str">
        <f>IF(C46&lt;C45,"Captar fora economiza ~"&amp;TEXT((C45-C46)*100,"0")&amp;" bps (CDI+"&amp;TEXT(C46,"0,00")&amp;" contra CDI+"&amp;TEXT(C45,"0,00")&amp;").","Captar dentro economiza ~"&amp;TEXT((C46-C45)*100,"0")&amp;" bps (CDI+"&amp;TEXT(C45,"0,00")&amp;" contra CDI+"&amp;TEXT(C46,"0,00")&amp;").")</f>
        <v>Captar fora economiza ~61 bps (CDI+0,89 contra CDI+1,50).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82BD-519E-4E7A-9967-4A0B67279862}">
  <dimension ref="A1:AZ400"/>
  <sheetViews>
    <sheetView showGridLines="0" workbookViewId="0"/>
  </sheetViews>
  <sheetFormatPr defaultRowHeight="14.4" x14ac:dyDescent="0.3"/>
  <cols>
    <col min="1" max="1" width="3.33203125" customWidth="1"/>
    <col min="2" max="2" width="61.109375" customWidth="1"/>
    <col min="3" max="3" width="35.21875" customWidth="1"/>
    <col min="4" max="4" width="20.33203125" customWidth="1"/>
  </cols>
  <sheetData>
    <row r="1" spans="1:52" ht="21" x14ac:dyDescent="0.4">
      <c r="A1" s="1"/>
      <c r="B1" s="2" t="s">
        <v>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x14ac:dyDescent="0.3">
      <c r="A2" s="1"/>
      <c r="B2" s="3" t="s">
        <v>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5.6" x14ac:dyDescent="0.3">
      <c r="A4" s="1"/>
      <c r="B4" s="4" t="s">
        <v>79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3">
      <c r="A5" s="1"/>
      <c r="B5" s="1" t="s">
        <v>80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3">
      <c r="A6" s="1"/>
      <c r="B6" s="1" t="s">
        <v>81</v>
      </c>
      <c r="C6" s="30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3">
      <c r="A7" s="1"/>
      <c r="B7" s="1" t="s">
        <v>82</v>
      </c>
      <c r="C7" s="16">
        <f>((1+0.136)^(252/252)*5/5.4-1)*360/365</f>
        <v>5.1141552511415486E-2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3">
      <c r="A8" s="1"/>
      <c r="B8" s="1" t="s">
        <v>83</v>
      </c>
      <c r="C8" s="5" t="str">
        <f>IF(C6=0,"— aguardando resposta",IF(ABS(C6-C7)&lt;=0.0003,"✓ CORRETO","✗ revise: diferença de "&amp;TEXT((C6-C7)*10000,"0,0")&amp;" bps"))</f>
        <v>— aguardando resposta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5.6" x14ac:dyDescent="0.3">
      <c r="A10" s="1"/>
      <c r="B10" s="4" t="s">
        <v>84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3">
      <c r="A11" s="1"/>
      <c r="B11" s="1" t="s">
        <v>85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3">
      <c r="A12" s="1"/>
      <c r="B12" s="1" t="s">
        <v>86</v>
      </c>
      <c r="C12" s="3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3">
      <c r="A13" s="1"/>
      <c r="B13" s="1" t="s">
        <v>87</v>
      </c>
      <c r="C13" s="30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3">
      <c r="A14" s="1"/>
      <c r="B14" s="1" t="s">
        <v>82</v>
      </c>
      <c r="C14" s="6" t="s">
        <v>88</v>
      </c>
      <c r="D14" s="16">
        <f>C7</f>
        <v>5.1141552511415486E-2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3">
      <c r="A15" s="1"/>
      <c r="B15" s="1" t="s">
        <v>83</v>
      </c>
      <c r="C15" s="5" t="str">
        <f>IF(AND(C12="",C13=0),"— aguardando resposta",IF(AND(C12=C14,ABS(C13-C7)&lt;=0.0003),"✓ CORRETO nas duas partes",IF(C12=C14,"✓ erro identificado, mas revise o valor correto","✗ revise o erro apontado")))</f>
        <v>— aguardando resposta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3">
      <c r="A16" s="1"/>
      <c r="B16" s="3" t="s">
        <v>89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5.6" x14ac:dyDescent="0.3">
      <c r="A18" s="1"/>
      <c r="B18" s="4" t="s">
        <v>90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x14ac:dyDescent="0.3">
      <c r="A19" s="1"/>
      <c r="B19" s="1" t="s">
        <v>91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3">
      <c r="A20" s="1"/>
      <c r="B20" s="1" t="s">
        <v>92</v>
      </c>
      <c r="C20" s="16">
        <v>5.45E-2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3">
      <c r="A21" s="1"/>
      <c r="B21" s="1" t="s">
        <v>93</v>
      </c>
      <c r="C21" s="28">
        <v>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x14ac:dyDescent="0.3">
      <c r="A22" s="1"/>
      <c r="B22" s="1" t="s">
        <v>82</v>
      </c>
      <c r="C22" s="19">
        <f>5*(1+0.136)^(252/252)/(1+C20*365/360)</f>
        <v>5.3825753338115394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x14ac:dyDescent="0.3">
      <c r="A23" s="1"/>
      <c r="B23" s="1" t="s">
        <v>83</v>
      </c>
      <c r="C23" s="5" t="str">
        <f>IF(C21=0,"— aguardando resposta",IF(ABS(C21-C22)&lt;=0.0015,"✓ CORRETO","✗ revise: diferença de "&amp;TEXT(C21-C22,"0,0000")&amp;" no câmbio"))</f>
        <v>— aguardando resposta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x14ac:dyDescent="0.3">
      <c r="A24" s="1"/>
      <c r="B24" s="3" t="s">
        <v>94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5.6" x14ac:dyDescent="0.3">
      <c r="A26" s="1"/>
      <c r="B26" s="4" t="s">
        <v>95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x14ac:dyDescent="0.3">
      <c r="A27" s="1"/>
      <c r="B27" s="1" t="s">
        <v>96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x14ac:dyDescent="0.3">
      <c r="A28" s="1"/>
      <c r="B28" s="1" t="s">
        <v>97</v>
      </c>
      <c r="C28" s="3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x14ac:dyDescent="0.3">
      <c r="A29" s="1"/>
      <c r="B29" s="1" t="s">
        <v>98</v>
      </c>
      <c r="C29" s="36">
        <v>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x14ac:dyDescent="0.3">
      <c r="A30" s="1"/>
      <c r="B30" s="1" t="s">
        <v>82</v>
      </c>
      <c r="C30" s="6" t="str">
        <f>IF((0.06-C7)*100&lt;1.5,"FORA","DENTRO")</f>
        <v>FORA</v>
      </c>
      <c r="D30" s="20">
        <f>ABS(1.5-(0.06-C7)*100)*100</f>
        <v>61.415525114154889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x14ac:dyDescent="0.3">
      <c r="A31" s="1"/>
      <c r="B31" s="1" t="s">
        <v>83</v>
      </c>
      <c r="C31" s="5" t="str">
        <f>IF(AND(C28="",C29=0),"— aguardando resposta",IF(AND(UPPER(C28)=C30,ABS(C29-D30)&lt;=5),"✓ CORRETO nas duas partes",IF(UPPER(C28)=C30,"✓ decisão certa, revise a economia em bps","✗ revise a decisão")))</f>
        <v>— aguardando resposta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x14ac:dyDescent="0.3">
      <c r="A32" s="1"/>
      <c r="B32" s="3" t="str">
        <f>"All-in da captação externa swapada ≈ CDI + (6,00% − "&amp;TEXT(C7,"0,00%")&amp;") = CDI + "&amp;TEXT((0.06-C7)*100,"0,00")&amp;", contra CDI + 1,50 local — economia de "&amp;TEXT(D30,"0")&amp;" bps."</f>
        <v>All-in da captação externa swapada ≈ CDI + (6,00% − 5,11%) = CDI + 0,89, contra CDI + 1,50 local — economia de 61 bps.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</sheetData>
  <sheetProtection sheet="1" objects="1" scenarios="1"/>
  <dataValidations count="2">
    <dataValidation type="list" allowBlank="1" showInputMessage="1" showErrorMessage="1" sqref="C12" xr:uid="{5B6FD0E1-4CAD-4554-ADE5-20A1F3B1C0D6}">
      <formula1>"usou base composta 252,inverteu S e F,esqueceu o 360/dc"</formula1>
    </dataValidation>
    <dataValidation type="list" allowBlank="1" showInputMessage="1" showErrorMessage="1" sqref="C28" xr:uid="{A7CDAFD8-BBE1-420D-A56B-1D9674D68B93}">
      <formula1>"DENTRO,FORA"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B22FA-32BA-4178-BFDF-27FF3CFDB62A}">
  <dimension ref="A1:AZ400"/>
  <sheetViews>
    <sheetView showGridLines="0" workbookViewId="0"/>
  </sheetViews>
  <sheetFormatPr defaultRowHeight="14.4" x14ac:dyDescent="0.3"/>
  <cols>
    <col min="2" max="2" width="140.77734375" customWidth="1"/>
  </cols>
  <sheetData>
    <row r="1" spans="1:52" ht="21" x14ac:dyDescent="0.4">
      <c r="A1" s="1"/>
      <c r="B1" s="2" t="s">
        <v>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x14ac:dyDescent="0.3">
      <c r="A2" s="1"/>
      <c r="B2" s="3" t="s">
        <v>100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x14ac:dyDescent="0.3">
      <c r="A4" s="1"/>
      <c r="B4" s="21" t="s">
        <v>101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3">
      <c r="A6" s="1"/>
      <c r="B6" s="21" t="s">
        <v>102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3">
      <c r="A8" s="1"/>
      <c r="B8" s="21" t="s">
        <v>103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x14ac:dyDescent="0.3">
      <c r="A10" s="1"/>
      <c r="B10" s="1" t="s">
        <v>104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3">
      <c r="A11" s="1"/>
      <c r="B11" s="1" t="s">
        <v>105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3">
      <c r="A12" s="1"/>
      <c r="B12" s="1" t="s">
        <v>106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3">
      <c r="A13" s="1"/>
      <c r="B13" s="1" t="s">
        <v>107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3">
      <c r="A15" s="1"/>
      <c r="B15" s="1" t="s">
        <v>108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x14ac:dyDescent="0.3">
      <c r="A17" s="1"/>
      <c r="B17" s="21" t="s">
        <v>109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x14ac:dyDescent="0.3">
      <c r="A19" s="1"/>
      <c r="B19" s="1" t="s">
        <v>110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3">
      <c r="A21" s="1"/>
      <c r="B21" s="21" t="s">
        <v>111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x14ac:dyDescent="0.3">
      <c r="A23" s="1"/>
      <c r="B23" s="1" t="s">
        <v>112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x14ac:dyDescent="0.3">
      <c r="A25" s="1"/>
      <c r="B25" s="21" t="s">
        <v>113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x14ac:dyDescent="0.3">
      <c r="A27" s="1"/>
      <c r="B27" s="1" t="s">
        <v>114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x14ac:dyDescent="0.3">
      <c r="A28" s="1"/>
      <c r="B28" s="1" t="s">
        <v>115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x14ac:dyDescent="0.3">
      <c r="A29" s="1"/>
      <c r="B29" s="1" t="s">
        <v>116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x14ac:dyDescent="0.3">
      <c r="A30" s="1"/>
      <c r="B30" s="1" t="s">
        <v>117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x14ac:dyDescent="0.3">
      <c r="A31" s="1"/>
      <c r="B31" s="1" t="s">
        <v>118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x14ac:dyDescent="0.3">
      <c r="A32" s="1"/>
      <c r="B32" s="1" t="s">
        <v>119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x14ac:dyDescent="0.3">
      <c r="A33" s="1"/>
      <c r="B33" s="1" t="s">
        <v>120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x14ac:dyDescent="0.3">
      <c r="A34" s="1"/>
      <c r="B34" s="1" t="s">
        <v>121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x14ac:dyDescent="0.3">
      <c r="A36" s="1"/>
      <c r="B36" s="21" t="s">
        <v>122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x14ac:dyDescent="0.3">
      <c r="A38" s="1"/>
      <c r="B38" s="21" t="s">
        <v>123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x14ac:dyDescent="0.3">
      <c r="A39" s="1"/>
      <c r="B39" s="1" t="s">
        <v>124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x14ac:dyDescent="0.3">
      <c r="A40" s="1"/>
      <c r="B40" s="1" t="s">
        <v>125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x14ac:dyDescent="0.3">
      <c r="A41" s="1"/>
      <c r="B41" s="1" t="s">
        <v>126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x14ac:dyDescent="0.3">
      <c r="A42" s="1"/>
      <c r="B42" s="1" t="s">
        <v>127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x14ac:dyDescent="0.3">
      <c r="A43" s="1"/>
      <c r="B43" s="1" t="s">
        <v>128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x14ac:dyDescent="0.3">
      <c r="A44" s="1"/>
      <c r="B44" s="1" t="s">
        <v>129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x14ac:dyDescent="0.3">
      <c r="A45" s="1"/>
      <c r="B45" s="1" t="s">
        <v>130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x14ac:dyDescent="0.3">
      <c r="A47" s="1"/>
      <c r="B47" s="1" t="s">
        <v>131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x14ac:dyDescent="0.3">
      <c r="A49" s="1"/>
      <c r="B49" s="21" t="s">
        <v>132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3">
      <c r="A50" s="1"/>
      <c r="B50" s="1" t="s">
        <v>133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3">
      <c r="A51" s="1"/>
      <c r="B51" s="1" t="s">
        <v>134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3">
      <c r="A52" s="1"/>
      <c r="B52" s="1" t="s">
        <v>135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3">
      <c r="A53" s="1"/>
      <c r="B53" s="1" t="s">
        <v>136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3">
      <c r="A54" s="1"/>
      <c r="B54" s="1" t="s">
        <v>137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x14ac:dyDescent="0.3">
      <c r="A56" s="1"/>
      <c r="B56" s="21" t="s">
        <v>138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x14ac:dyDescent="0.3">
      <c r="A57" s="1"/>
      <c r="B57" s="1" t="s">
        <v>139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x14ac:dyDescent="0.3">
      <c r="A58" s="1"/>
      <c r="B58" s="1" t="s">
        <v>140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x14ac:dyDescent="0.3">
      <c r="A59" s="1"/>
      <c r="B59" s="1" t="s">
        <v>141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x14ac:dyDescent="0.3">
      <c r="A60" s="1"/>
      <c r="B60" s="1" t="s">
        <v>142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x14ac:dyDescent="0.3">
      <c r="A61" s="1"/>
      <c r="B61" s="1" t="s">
        <v>143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x14ac:dyDescent="0.3">
      <c r="A62" s="1"/>
      <c r="B62" s="1" t="s">
        <v>144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x14ac:dyDescent="0.3">
      <c r="A64" s="1"/>
      <c r="B64" s="21" t="s">
        <v>145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x14ac:dyDescent="0.3">
      <c r="A65" s="1"/>
      <c r="B65" s="1" t="s">
        <v>146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x14ac:dyDescent="0.3">
      <c r="A66" s="1"/>
      <c r="B66" s="1" t="s">
        <v>147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x14ac:dyDescent="0.3">
      <c r="A68" s="1"/>
      <c r="B68" s="21" t="s">
        <v>148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x14ac:dyDescent="0.3">
      <c r="A69" s="1"/>
      <c r="B69" s="1" t="s">
        <v>149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x14ac:dyDescent="0.3">
      <c r="A70" s="1"/>
      <c r="B70" s="1" t="s">
        <v>150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x14ac:dyDescent="0.3">
      <c r="A72" s="1"/>
      <c r="B72" s="1" t="s">
        <v>151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x14ac:dyDescent="0.3">
      <c r="A74" s="1"/>
      <c r="B74" s="21" t="s">
        <v>152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x14ac:dyDescent="0.3">
      <c r="A76" s="1"/>
      <c r="B76" s="1" t="s">
        <v>153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x14ac:dyDescent="0.3">
      <c r="A78" s="1"/>
      <c r="B78" s="1" t="s">
        <v>154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x14ac:dyDescent="0.3">
      <c r="A79" s="1"/>
      <c r="B79" s="1" t="s">
        <v>155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x14ac:dyDescent="0.3">
      <c r="A80" s="1"/>
      <c r="B80" s="1" t="s">
        <v>156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x14ac:dyDescent="0.3">
      <c r="A81" s="1"/>
      <c r="B81" s="1" t="s">
        <v>157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x14ac:dyDescent="0.3">
      <c r="A83" s="1"/>
      <c r="B83" s="21" t="s">
        <v>158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x14ac:dyDescent="0.3">
      <c r="A85" s="1"/>
      <c r="B85" s="1" t="s">
        <v>159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3">
      <c r="A87" s="1"/>
      <c r="B87" s="21" t="s">
        <v>160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3">
      <c r="A89" s="1"/>
      <c r="B89" s="1" t="s">
        <v>161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3">
      <c r="A90" s="1"/>
      <c r="B90" s="1" t="s">
        <v>162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3">
      <c r="A91" s="1"/>
      <c r="B91" s="1" t="s">
        <v>163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2026-08-13T17:17:06Z</dcterms:created>
  <dcterms:modified xsi:type="dcterms:W3CDTF">2026-08-13T17:35:21Z</dcterms:modified>
</cp:coreProperties>
</file>