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9B537A94-F65A-4D11-80D4-2D18893909F5}" xr6:coauthVersionLast="47" xr6:coauthVersionMax="47" xr10:uidLastSave="{00000000-0000-0000-0000-000000000000}"/>
  <bookViews>
    <workbookView xWindow="-108" yWindow="-108" windowWidth="23256" windowHeight="12456" activeTab="3" xr2:uid="{B65EC5EC-10D1-4636-9E38-CCFD87D9A8E0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8" i="4" l="1"/>
  <c r="A32" i="4"/>
  <c r="A26" i="4"/>
  <c r="A20" i="4"/>
  <c r="B19" i="4" a="1"/>
  <c r="B19" i="4" s="1"/>
  <c r="B18" i="4"/>
  <c r="A13" i="4"/>
  <c r="C12" i="4"/>
  <c r="B12" i="4"/>
  <c r="D59" i="3"/>
  <c r="C59" i="3"/>
  <c r="B59" i="3"/>
  <c r="D58" i="3"/>
  <c r="C58" i="3"/>
  <c r="B58" i="3"/>
  <c r="D57" i="3"/>
  <c r="C57" i="3"/>
  <c r="B57" i="3"/>
  <c r="A59" i="3"/>
  <c r="A58" i="3"/>
  <c r="A57" i="3"/>
  <c r="A52" i="3"/>
  <c r="A51" i="3"/>
  <c r="A50" i="3"/>
  <c r="D48" i="3"/>
  <c r="C48" i="3"/>
  <c r="B48" i="3"/>
  <c r="D47" i="3"/>
  <c r="C47" i="3"/>
  <c r="B47" i="3"/>
  <c r="D46" i="3"/>
  <c r="C46" i="3"/>
  <c r="B46" i="3"/>
  <c r="A42" i="3"/>
  <c r="A41" i="3"/>
  <c r="A40" i="3"/>
  <c r="A36" i="3"/>
  <c r="A35" i="3"/>
  <c r="A34" i="3"/>
  <c r="D32" i="3"/>
  <c r="D31" i="3"/>
  <c r="C31" i="3"/>
  <c r="D30" i="3"/>
  <c r="C30" i="3"/>
  <c r="D29" i="3"/>
  <c r="C29" i="3"/>
  <c r="D28" i="3"/>
  <c r="C28" i="3"/>
  <c r="C32" i="3" s="1"/>
  <c r="B32" i="3"/>
  <c r="B31" i="3"/>
  <c r="B30" i="3"/>
  <c r="B29" i="3"/>
  <c r="B28" i="3"/>
  <c r="D25" i="3"/>
  <c r="C25" i="3"/>
  <c r="B25" i="3"/>
  <c r="D24" i="3"/>
  <c r="D23" i="3"/>
  <c r="D22" i="3"/>
  <c r="C24" i="3"/>
  <c r="C22" i="3"/>
  <c r="A24" i="3"/>
  <c r="A23" i="3"/>
  <c r="A22" i="3"/>
  <c r="C18" i="3"/>
  <c r="C14" i="3"/>
  <c r="B14" i="3"/>
  <c r="E14" i="3" s="1"/>
  <c r="C13" i="3"/>
  <c r="B13" i="3"/>
  <c r="E13" i="3" s="1"/>
  <c r="F12" i="3"/>
  <c r="E12" i="3"/>
  <c r="D12" i="3"/>
  <c r="C12" i="3"/>
  <c r="B12" i="3"/>
  <c r="A14" i="3"/>
  <c r="A13" i="3"/>
  <c r="A12" i="3"/>
  <c r="D14" i="3" l="1"/>
  <c r="F14" i="3" s="1"/>
  <c r="D13" i="3"/>
  <c r="F13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<sst xmlns="http://schemas.openxmlformats.org/spreadsheetml/2006/main" count="167" uniqueCount="152">
  <si>
    <t>Simulador 6 · Bullet × Barbell × Ladder — mesma duration, riscos diferentes</t>
  </si>
  <si>
    <t>Módulo 4 · Gestão de Carregamento de Ativos — Blocos 2 e 5. Células azuis são editáveis; o restante é calculado. Dados ilustrativos (curva do curso).</t>
  </si>
  <si>
    <t>1. A CURVA DO MÓDULO (inputs)</t>
  </si>
  <si>
    <t>du</t>
  </si>
  <si>
    <t>Taxa a.a.</t>
  </si>
  <si>
    <t>Curva do módulo: invertida na parte curta e com corcova no longo. Validação: 0% a 100%.</t>
  </si>
  <si>
    <t>2. PARÂMETROS DOS INSTRUMENTOS (zero-cupom didático, base 252)</t>
  </si>
  <si>
    <t>Vértice (du)</t>
  </si>
  <si>
    <t>t (anos = du/252)</t>
  </si>
  <si>
    <t>MD</t>
  </si>
  <si>
    <t>Convexidade</t>
  </si>
  <si>
    <t>DV01 por R$ 100 (R$/bp)</t>
  </si>
  <si>
    <t>Nota: a NTN-F real de 504 du do curso tem MD 1,65 por causa dos cupons; aqui o vértice de 504 é zero-cupom (MD 1,77) para isolar o efeito da arquitetura.</t>
  </si>
  <si>
    <t>3. AS TRÊS CARTEIRAS</t>
  </si>
  <si>
    <t>Valor total investido (R$)</t>
  </si>
  <si>
    <t>Peso w da barbell no vértice curto (calibrado para igualar a MD da bullet)</t>
  </si>
  <si>
    <t>Pesos por vértice</t>
  </si>
  <si>
    <t>Bullet</t>
  </si>
  <si>
    <t>Barbell</t>
  </si>
  <si>
    <t>Ladder (extensão)</t>
  </si>
  <si>
    <t>Total</t>
  </si>
  <si>
    <t>Bullet: 100% em 504 du (fixa). Barbell: 252 + 1.008 com w calibrado. Ladder: 1/3 em cada vértice (MD resultante, NÃO igualada).</t>
  </si>
  <si>
    <t>Métrica</t>
  </si>
  <si>
    <t>MD ponderada (pelo valor de mercado)</t>
  </si>
  <si>
    <t>DV01 total (R$/bp) — soma em reais</t>
  </si>
  <si>
    <t>Convexidade ponderada</t>
  </si>
  <si>
    <t>Carrego (taxa média ponderada, % a.a.)</t>
  </si>
  <si>
    <t>Diferença de MD vs. bullet</t>
  </si>
  <si>
    <t>4. OS CHOQUES (inputs em bps, por vértice)</t>
  </si>
  <si>
    <t>Paralelo</t>
  </si>
  <si>
    <t>Steepening 252×1008</t>
  </si>
  <si>
    <t>Curvatura (corcova)</t>
  </si>
  <si>
    <t>Correção de convexidade (½·C·Δi²) aplicada apenas ao choque paralelo, onde o movimento é grande e uniforme.</t>
  </si>
  <si>
    <t>P&amp;L POR CHOQUE (key rates + correção de convexidade) — R$ mil</t>
  </si>
  <si>
    <t>Choque</t>
  </si>
  <si>
    <t>Paralelo (com convexidade)</t>
  </si>
  <si>
    <t>Curvatura (corcova no 504)</t>
  </si>
  <si>
    <t>Armadilha de mesa: duration igual ≠ risco igual. A média esconde o formato (perfil por vértice) e a curvatura (convexidade).</t>
  </si>
  <si>
    <t>5. DV01 POR VÉRTICE (R$/bp) — base do gráfico</t>
  </si>
  <si>
    <t>Vértice</t>
  </si>
  <si>
    <t>Ladder</t>
  </si>
  <si>
    <t>Cenários — verificação automática</t>
  </si>
  <si>
    <t>Preencha apenas as células azuis. A coluna de verificação compara sua resposta com o gabarito calculado por fórmula.</t>
  </si>
  <si>
    <t>CENÁRIO A — o barbell do material (MDs do curso)</t>
  </si>
  <si>
    <t>Com os MDs do material (LTN 252 = 0,88; alvo NTN-F 504 = 1,65; longo 1.008 = 3,53), calcule os pesos do barbell que igualam a MD alvo.</t>
  </si>
  <si>
    <t>MD LTN (252 du)</t>
  </si>
  <si>
    <t>MD alvo — NTN-F (504 du)</t>
  </si>
  <si>
    <t>MD longo (1.008 du)</t>
  </si>
  <si>
    <t>Sua resposta — peso no curto (252 du)</t>
  </si>
  <si>
    <t>Sua resposta — peso no longo (1.008 du)</t>
  </si>
  <si>
    <t>Gabarito (fórmula): w = (MD_longo − MD_alvo) / (MD_longo − MD_curto)</t>
  </si>
  <si>
    <t>CENÁRIO B — choque paralelo grande (+200 bps)</t>
  </si>
  <si>
    <t>Aplicando +200 bps às três carteiras de R$ 100 mi (aba Simulador), qual perde menos — e por quê?</t>
  </si>
  <si>
    <t>Sua resposta (escolha na lista)</t>
  </si>
  <si>
    <t>P&amp;L no paralelo (R$ mil) — Bullet / Barbell / Ladder</t>
  </si>
  <si>
    <t>Gabarito (fórmula): carteira com o maior P&amp;L</t>
  </si>
  <si>
    <t>CENÁRIO C — bear steepening (+50 bps só em 1.008 du)</t>
  </si>
  <si>
    <t>Ordene as perdas das três carteiras, da maior para a menor.</t>
  </si>
  <si>
    <t>Gabarito</t>
  </si>
  <si>
    <t>Barbell &gt; Ladder &gt; Bullet</t>
  </si>
  <si>
    <t>CENÁRIO D — conceito: "convexidade é seguro pago em carrego"</t>
  </si>
  <si>
    <t>Quem racionalmente compra esse seguro?</t>
  </si>
  <si>
    <t>Quem não pode atravessar o choque</t>
  </si>
  <si>
    <t>CENÁRIO E — extensão: a ladder na prática</t>
  </si>
  <si>
    <t>Em que a ladder se diferencia das outras duas na prática de reinvestimento?</t>
  </si>
  <si>
    <t>Sua resposta (texto livre)</t>
  </si>
  <si>
    <t>Mostrar resposta-modelo? (SIM / NÃO)</t>
  </si>
  <si>
    <t>NÃO</t>
  </si>
  <si>
    <t>Instruções — Simulador 6 · Bullet × Barbell × Ladder</t>
  </si>
  <si>
    <t>Operações de Tesouraria em Instituições Financeiras (MBA) · Módulo 4 — Gestão de Carregamento de Ativos · Bloco 2 (2.2–2.3) e Bloco 5 (cardápio de posicionamento)</t>
  </si>
  <si>
    <t>Objetivo</t>
  </si>
  <si>
    <t>Construir três carteiras — bullet, barbell e ladder — comparar duration, convexidade, perfil por vértice e carrego, e submeter as três aos choques de curva (paralelo, steepening e curvatura).</t>
  </si>
  <si>
    <t>As três arquiteturas</t>
  </si>
  <si>
    <t>Bullet: concentra a posição num prazo intermediário (aqui, 100% no vértice de 504 du).</t>
  </si>
  <si>
    <t>Barbell: põe peso nas duas pontas (252 e 1.008 du), com o peso w calibrado para igualar a duration da bullet.</t>
  </si>
  <si>
    <t>Ladder: distribui em pesos iguais ao longo dos vencimentos (1/3 em cada vértice) — extensão, ver nota de escopo abaixo.</t>
  </si>
  <si>
    <t>NOTA DE ESCOPO — o material do módulo cobre bullet × barbell. A ladder é uma extensão do simulador: estratégia clássica de escalonamento de vencimentos em pesos iguais, incluída para completar o cardápio de posicionamento; não consta do material de estudo.</t>
  </si>
  <si>
    <t>A conta da agregação (Bloco 1)</t>
  </si>
  <si>
    <t>DV01 soma em reais; duration e convexidade se ponderam pelo valor de mercado. A convexidade cresce com o quadrado do prazo — por isso é dominada pelos fluxos longos.</t>
  </si>
  <si>
    <t>A correção de segunda ordem</t>
  </si>
  <si>
    <t>ΔPU ≈ −MD·Δi + ½·Convexidade·(Δi)² — no simulador, a correção de convexidade é aplicada ao choque paralelo, onde o movimento é grande e uniforme.</t>
  </si>
  <si>
    <t>ARMADILHA DE MESA</t>
  </si>
  <si>
    <t>"Duration igual ≠ risco igual. A média escondeu duas coisas: o formato (perfil por vértice) e a curvatura (convexidade). A barbell ganha nos choques paralelos grandes e sofre no steepening o que a bullet não sofre — e vice-versa."</t>
  </si>
  <si>
    <t>A frase de mesa</t>
  </si>
  <si>
    <t>"Convexidade é seguro pago em carrego": quem vende convexidade embolsa carrego e torce por curva parada; quem compra paga o prêmio e torce por movimento.</t>
  </si>
  <si>
    <t>Como usar</t>
  </si>
  <si>
    <t>1. Na aba Simulador, ajuste a curva (taxas por vértice) e o valor total investido — apenas as células azuis são editáveis.</t>
  </si>
  <si>
    <t>2. Confira a calibração: o peso w da barbell iguala a MD da bullet (verificação automática ✔). A ladder NÃO é igualada.</t>
  </si>
  <si>
    <t>3. Ajuste os choques em bps por vértice e leia a tabela 3×3 de P&amp;L (R$ mil) e as três linhas de leitura automática.</t>
  </si>
  <si>
    <t>4. Compare o gráfico de DV01 por vértice: mesmo DV01 total, perfis opostos.</t>
  </si>
  <si>
    <t>5. Na aba Cenários, responda A a E; a verificação é automática, com gabaritos por fórmula.</t>
  </si>
  <si>
    <t>Código de cores</t>
  </si>
  <si>
    <t>Azul claro (#DCE9F5) = input editável · Azul (#0C63AA) = resultado calculado · Azul-marinho (#002C4D) = títulos. Demais células bloqueadas (proteção sem senha).</t>
  </si>
  <si>
    <t>AVISO: dados ilustrativos (curva do curso). Em aplicação real, use as curvas e preços de referência da ANBIMA/B3.</t>
  </si>
  <si>
    <t>Prompt utilizado para gerar este simulador</t>
  </si>
  <si>
    <t>Data: 13/08/2026 · Arquivo: Simulador 6 · Bullet × Barbell × Ladder</t>
  </si>
  <si>
    <t># Spec — Simulador 6 · Bullet × Barbell × Ladder (mesma duration, riscos diferentes)</t>
  </si>
  <si>
    <t>&gt; Prompt para o Claude for Excel. Crie um arquivo `Simulador_6_Bullet_Barbell_Ladder.xlsx` seguindo integralmente esta especificação. Ao final, cole o texto completo deste documento na aba "Prompt".</t>
  </si>
  <si>
    <t>## 1. Contexto e objetivo</t>
  </si>
  <si>
    <t>Simulador do curso Operações de Tesouraria em Instituições Financeiras (MBA), Módulo 4 — Gestão de Carregamento de Ativos, Bloco 2 (seções 2.2–2.3) e Bloco 5 (cardápio de posicionamento). O aluno constrói três carteiras — bullet (concentrada), barbell (pontas) e ladder (escada) — compara duration, convexidade, perfil por vértice e carrego, e submete as três aos choques (paralelo, steepening, curvatura).</t>
  </si>
  <si>
    <t>Mensagens pedagógicas centrais: "Duas carteiras com a MESMA duration: iguais na reta, diferentes na curva e na torção" e "Convexidade é seguro pago em carrego."</t>
  </si>
  <si>
    <t>&gt; Nota de escopo (deve constar na aba Instruções): o material do módulo cobre bullet × barbell. A ladder é uma extensão do simulador — estratégia clássica de escalonamento de vencimentos em pesos iguais, incluída para completar o cardápio; não consta do material de estudo.</t>
  </si>
  <si>
    <t>## 2. Estrutura do arquivo (4 abas, nesta ordem)</t>
  </si>
  <si>
    <t>1. Instruções · 2. Simulador · 3. Cenários · 4. Prompt</t>
  </si>
  <si>
    <t>## 3. Convenções visuais</t>
  </si>
  <si>
    <t>Padrão do curso: fundo branco, Arial, títulos #002C4D, texto #202427, resultados #0C63AA, inputs #DCE9F5 desbloqueados, resto bloqueado (proteção sem senha). Taxas % com 2 casas; MD com 2 casas; DV01 em R$/bp sem decimais; convexidade com 2 casas.</t>
  </si>
  <si>
    <t>## 4. Aba "Instruções"</t>
  </si>
  <si>
    <t>- As três arquiteturas: bullet concentra num prazo intermediário; barbell põe peso nas duas pontas calibradas para a mesma duration; ladder distribui em pesos iguais ao longo dos vencimentos (extensão — ver nota de escopo).</t>
  </si>
  <si>
    <t>- A conta da agregação (Bloco 1): DV01 soma em reais; duration e convexidade se ponderam pelo valor de mercado — e a convexidade cresce com o quadrado do prazo, por isso é dominada pelos fluxos longos.</t>
  </si>
  <si>
    <t>- A correção de segunda ordem: ΔPU ≈ −MD·Δi + ½·Convexidade·(Δi)².</t>
  </si>
  <si>
    <t>- Armadilha de mesa (caixa destacada): "Duration igual ≠ risco igual. A média escondeu duas coisas: o formato (perfil por vértice) e a curvatura (convexidade). A barbell ganha nos choques paralelos grandes e sofre no steepening o que a bullet não sofre — e vice-versa."</t>
  </si>
  <si>
    <t>- A frase de mesa: "Convexidade é seguro pago em carrego" — quem vende convexidade embolsa carrego e torce por curva parada; quem compra paga o prêmio e torce por movimento.</t>
  </si>
  <si>
    <t>- Aviso de dados ilustrativos (curva do curso; aplicação real: ANBIMA/B3).</t>
  </si>
  <si>
    <t>## 5. Aba "Simulador"</t>
  </si>
  <si>
    <t>### 5.1 A curva do módulo (inputs azuis, com defaults)</t>
  </si>
  <si>
    <t>du | Taxa a.a.</t>
  </si>
  <si>
    <t>252 | 13,60%</t>
  </si>
  <si>
    <t>504 | 13,00%</t>
  </si>
  <si>
    <t>1.008 | 13,40%</t>
  </si>
  <si>
    <t>(Instrumentos didáticos zero-cupom nos três vértices, exceto onde indicado. Validações: taxas entre 0% e 100%.)</t>
  </si>
  <si>
    <t>### 5.2 Bloco "Parâmetros dos instrumentos" (calculados)</t>
  </si>
  <si>
    <t>Para cada vértice (tratado como zero-cupom didático, base 252): MD = (du/252)/(1+i); Convexidade = t(t+1)/(1+i)² com t = du/252; DV01 por R$ 100 = MD × 100 × 0,0001 (escalar depois pelo valor investido). Com defaults: MD ≈ 0,88 (252), 1,77 (504 zero-cupom didático), 3,53 (1.008). Nota ao lado: a NTN-F real de 504 du do curso tem MD 1,65 por causa dos cupons; aqui usamos zero-cupom para isolar a arquitetura.</t>
  </si>
  <si>
    <t>### 5.3 Bloco "As três carteiras" (input: valor total, default R$ 100.000.000)</t>
  </si>
  <si>
    <t>Bullet | 100% no vértice de 504 du | fixa</t>
  </si>
  <si>
    <t>Barbell | LTN 252 + longo 1.008 | peso w calculado para igualar a MD da bullet: w = (MD_1008 − MD_bullet)/(MD_1008 − MD_252)</t>
  </si>
  <si>
    <t>Ladder (extensão) | 1/3 em cada vértice (252, 504, 1.008) | pesos iguais; MD resultante calculada (NÃO igualada)</t>
  </si>
  <si>
    <t>Para cada carteira, calcular e exibir em tabela comparativa: MD ponderada · DV01 total (R$/bp) · Convexidade ponderada · Carrego (taxa média ponderada pela curva).</t>
  </si>
  <si>
    <t>- Linha de leitura automática do carrego: comparar carrego barbell vs. bullet e exibir: se barbell &lt; bullet → "A barbell cede carrego — o prêmio do seguro de convexidade (padrão em curvas típicas)"; se barbell &gt; bullet → "Atenção: NESTA curva (invertida, com corcova), a barbell rende mais — verifique o formato antes de generalizar; em curvas típicas ela cede carrego." (Com a curva default do curso, o segundo caso ocorre — a leitura condicional é obrigatória.)</t>
  </si>
  <si>
    <t>- Linha de verificação: MD_barbell = MD_bullet (✔ automático); MD_ladder exibida com a diferença.</t>
  </si>
  <si>
    <t>### 5.4 Bloco "Os choques" (inputs azuis: 3 choques em bps)</t>
  </si>
  <si>
    <t>Paralelo | +200 | todos os vértices</t>
  </si>
  <si>
    <t>Steepening 252×1008 | −50 / +50 | curta cai, longa sobe (504 parado)</t>
  </si>
  <si>
    <t>Curvatura (corcova) | +40 no 504 | só a barriga</t>
  </si>
  <si>
    <t>Para cada carteira × choque, calcular o P&amp;L por key rates (DV01 de cada vértice × choque do vértice) + correção de convexidade no paralelo (½·C·Δi² × valor). Tabela 3×3 de P&amp;L em R$ mil, com formatação condicional (vermelho claro para perdas, azul para ganhos) e três linhas de leitura automática:</t>
  </si>
  <si>
    <t>- Paralelo grande → "barbell perde menos / ganha mais que a bullet: a convexidade amortece a queda e turbina a alta";</t>
  </si>
  <si>
    <t>- Steepening → "a barbell sofre (ponta longa) o que a bullet não sofre";</t>
  </si>
  <si>
    <t>- Corcova → "a bullet concentra a dor na barriga".</t>
  </si>
  <si>
    <t>### 5.5 Gráfico (este simulador DEVE ter gráfico)</t>
  </si>
  <si>
    <t>Gráfico de colunas agrupadas: eixo X = vértices (252, 504, 1.008 du); eixo Y = DV01 (R$/bp); três séries (bullet #002C4D, barbell #0C63AA, ladder cinza). Título: "Mesmo DV01 total, perfis opostos — a curva pergunta vértice por vértice".</t>
  </si>
  <si>
    <t>## 6. Aba "Cenários"</t>
  </si>
  <si>
    <t>Verificação automática padrão ("✔ Correto" com tolerância; gabaritos por fórmula).</t>
  </si>
  <si>
    <t>- Cenário A (o barbell do material): com os MDs do material (LTN 0,88; alvo NTN-F 1,65; longo 3,53), calcule os pesos do barbell. Gabarito: 71% / 29% (tolerância 1 p.p.).</t>
  </si>
  <si>
    <t>- Cenário B (choque paralelo grande): +200 bps nas três carteiras de R$ 100 mi. Qual perde menos e por quê? Gabarito: barbell; correção ½·C·Δi² maior (convexidade dominada pela ponta longa).</t>
  </si>
  <si>
    <t>- Cenário C (bear steepening): +50 bps só em 1.008 du. Ordene as perdas. Gabarito: barbell &gt; ladder &gt; bullet (a bullet não tem nada na ponta longa).</t>
  </si>
  <si>
    <t>- Cenário D (conceito): "convexidade é seguro pago em carrego" — quem racionalmente compra esse seguro? (Lista: "quem não pode atravessar o choque" / "quem tem visão de curva parada" / "ninguém, é sempre caro".) Gabarito: quem não pode atravessar o choque; complemento: não há resposta certa fora do mandato.</t>
  </si>
  <si>
    <t>- Cenário E (extensão ladder): em que a ladder se diferencia das outras duas na prática de reinvestimento? Resposta-modelo em célula oculta: escalona vencimentos e dilui o risco de reinvestimento no tempo — meio-termo de convexidade e carrego, sem visão de curva.</t>
  </si>
  <si>
    <t>## 7. Aba "Prompt"</t>
  </si>
  <si>
    <t>Colar o texto integral desta especificação, com título "Prompt utilizado para gerar este simulador" e data.</t>
  </si>
  <si>
    <t>## 8. Critérios de aceite</t>
  </si>
  <si>
    <t>- Pesos do barbell com os MDs zero-cupom default igualam a MD da bullet (✔ automático); com os MDs do material (0,88/1,65/3,53) o Cenário A devolve ~71/29.</t>
  </si>
  <si>
    <t>- Tabela de choques 3×3 preenchida e coerente: barbell melhor no paralelo grande, pior no steepening; leitura condicional do carrego funciona com a curva default (caso "barbell rende mais nesta curva").</t>
  </si>
  <si>
    <t>- Nota de escopo da ladder visível na aba Instruções; gráfico atualiza com inputs; apenas células azuis editáveis; aba Prompt com a spec na íntegra.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</si>
</sst>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"/>
    <numFmt numFmtId="165" formatCode="0.00;\(0.00\);\-"/>
    <numFmt numFmtId="166" formatCode="0.0%"/>
    <numFmt numFmtId="167" formatCode="[Blue]#,##0;[Red]\(#,##0\);\-"/>
  </numFmts>
  <fonts count="11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b/>
      <sz val="10"/>
      <color rgb="FF002C4D"/>
      <name val="Arial"/>
    </font>
    <font>
      <sz val="10"/>
      <color theme="1"/>
      <name val="Arial"/>
    </font>
    <font>
      <i/>
      <sz val="10"/>
      <color rgb="FF202427"/>
      <name val="Arial"/>
    </font>
    <font>
      <b/>
      <sz val="10"/>
      <color rgb="FFFFFFFF"/>
      <name val="Arial"/>
    </font>
    <font>
      <sz val="10"/>
      <color rgb="FF0000FF"/>
      <name val="Arial"/>
    </font>
    <font>
      <b/>
      <sz val="10"/>
      <color theme="1"/>
      <name val="Arial"/>
    </font>
    <font>
      <b/>
      <sz val="10"/>
      <color rgb="FF0C63AA"/>
      <name val="Arial"/>
    </font>
    <font>
      <i/>
      <sz val="10"/>
      <color theme="1"/>
      <name val="Arial"/>
    </font>
    <font>
      <sz val="10"/>
      <color rgb="FF0C63AA"/>
      <name val="Arial"/>
    </font>
  </fonts>
  <fills count="6">
    <fill>
      <patternFill patternType="none"/>
    </fill>
    <fill>
      <patternFill patternType="gray125"/>
    </fill>
    <fill>
      <patternFill patternType="solid">
        <fgColor rgb="FF002C4D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F7FAFD"/>
        <bgColor indexed="64"/>
      </patternFill>
    </fill>
  </fills>
  <borders count="2">
    <border>
      <left/>
      <right/>
      <top/>
      <bottom/>
      <diagonal/>
    </border>
    <border>
      <left style="thin">
        <color rgb="FFB7C4CF"/>
      </left>
      <right style="thin">
        <color rgb="FFB7C4CF"/>
      </right>
      <top style="thin">
        <color rgb="FFB7C4CF"/>
      </top>
      <bottom style="thin">
        <color rgb="FFB7C4C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2" fillId="3" borderId="0" xfId="0" applyFont="1" applyFill="1"/>
    <xf numFmtId="0" fontId="5" fillId="2" borderId="0" xfId="0" applyFont="1" applyFill="1"/>
    <xf numFmtId="0" fontId="2" fillId="4" borderId="0" xfId="0" applyFont="1" applyFill="1"/>
    <xf numFmtId="0" fontId="4" fillId="4" borderId="0" xfId="0" applyFont="1" applyFill="1"/>
    <xf numFmtId="0" fontId="5" fillId="2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  <xf numFmtId="10" fontId="8" fillId="0" borderId="0" xfId="0" applyNumberFormat="1" applyFont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1" xfId="0" applyFont="1" applyBorder="1"/>
    <xf numFmtId="0" fontId="5" fillId="2" borderId="1" xfId="0" applyFont="1" applyFill="1" applyBorder="1"/>
    <xf numFmtId="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8" fillId="4" borderId="0" xfId="0" applyFont="1" applyFill="1"/>
    <xf numFmtId="167" fontId="10" fillId="5" borderId="1" xfId="0" applyNumberFormat="1" applyFont="1" applyFill="1" applyBorder="1" applyAlignment="1">
      <alignment horizontal="center"/>
    </xf>
    <xf numFmtId="10" fontId="6" fillId="3" borderId="1" xfId="0" applyNumberFormat="1" applyFont="1" applyFill="1" applyBorder="1" applyAlignment="1" applyProtection="1">
      <alignment horizontal="center"/>
      <protection locked="0"/>
    </xf>
    <xf numFmtId="3" fontId="6" fillId="3" borderId="0" xfId="0" applyNumberFormat="1" applyFont="1" applyFill="1" applyAlignment="1" applyProtection="1">
      <alignment horizontal="center"/>
      <protection locked="0"/>
    </xf>
    <xf numFmtId="164" fontId="6" fillId="3" borderId="1" xfId="0" applyNumberFormat="1" applyFont="1" applyFill="1" applyBorder="1" applyAlignment="1" applyProtection="1">
      <alignment horizontal="center"/>
      <protection locked="0"/>
    </xf>
    <xf numFmtId="166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6" fillId="3" borderId="0" xfId="0" applyNumberFormat="1" applyFont="1" applyFill="1" applyAlignment="1" applyProtection="1">
      <alignment horizontal="center"/>
      <protection locked="0"/>
    </xf>
    <xf numFmtId="166" fontId="6" fillId="3" borderId="0" xfId="0" applyNumberFormat="1" applyFont="1" applyFill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Mesmo DV01 total, perfis opostos — a curva pergunta vértice por vértice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Simulador!$B$56</c:f>
              <c:strCache>
                <c:ptCount val="1"/>
                <c:pt idx="0">
                  <c:v>Bullet</c:v>
                </c:pt>
              </c:strCache>
            </c:strRef>
          </c:tx>
          <c:spPr>
            <a:solidFill>
              <a:srgbClr val="002C4D"/>
            </a:solidFill>
            <a:ln>
              <a:noFill/>
            </a:ln>
            <a:effectLst/>
          </c:spPr>
          <c:invertIfNegative val="0"/>
          <c:cat>
            <c:strRef>
              <c:f>Simulador!$A$57:$A$59</c:f>
              <c:strCache>
                <c:ptCount val="3"/>
                <c:pt idx="0">
                  <c:v>252 du</c:v>
                </c:pt>
                <c:pt idx="1">
                  <c:v>504 du</c:v>
                </c:pt>
                <c:pt idx="2">
                  <c:v>1.008 du</c:v>
                </c:pt>
              </c:strCache>
            </c:strRef>
          </c:cat>
          <c:val>
            <c:numRef>
              <c:f>Simulador!$B$57:$B$59</c:f>
              <c:numCache>
                <c:formatCode>#,##0;\(#,##0\);\-</c:formatCode>
                <c:ptCount val="3"/>
                <c:pt idx="0">
                  <c:v>0</c:v>
                </c:pt>
                <c:pt idx="1">
                  <c:v>17699.115044247788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6-4ED0-BEDE-83748BADDC4C}"/>
            </c:ext>
          </c:extLst>
        </c:ser>
        <c:ser>
          <c:idx val="1"/>
          <c:order val="1"/>
          <c:tx>
            <c:strRef>
              <c:f>Simulador!$C$56</c:f>
              <c:strCache>
                <c:ptCount val="1"/>
                <c:pt idx="0">
                  <c:v>Barbell</c:v>
                </c:pt>
              </c:strCache>
            </c:strRef>
          </c:tx>
          <c:spPr>
            <a:solidFill>
              <a:srgbClr val="0C63AA"/>
            </a:solidFill>
            <a:ln>
              <a:noFill/>
            </a:ln>
            <a:effectLst/>
          </c:spPr>
          <c:invertIfNegative val="0"/>
          <c:cat>
            <c:strRef>
              <c:f>Simulador!$A$57:$A$59</c:f>
              <c:strCache>
                <c:ptCount val="3"/>
                <c:pt idx="0">
                  <c:v>252 du</c:v>
                </c:pt>
                <c:pt idx="1">
                  <c:v>504 du</c:v>
                </c:pt>
                <c:pt idx="2">
                  <c:v>1.008 du</c:v>
                </c:pt>
              </c:strCache>
            </c:strRef>
          </c:cat>
          <c:val>
            <c:numRef>
              <c:f>Simulador!$C$57:$C$59</c:f>
              <c:numCache>
                <c:formatCode>#,##0;\(#,##0\);\-</c:formatCode>
                <c:ptCount val="3"/>
                <c:pt idx="0">
                  <c:v>5844.3412140243418</c:v>
                </c:pt>
                <c:pt idx="1">
                  <c:v>0</c:v>
                </c:pt>
                <c:pt idx="2">
                  <c:v>11854.773830223448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C6-4ED0-BEDE-83748BADDC4C}"/>
            </c:ext>
          </c:extLst>
        </c:ser>
        <c:ser>
          <c:idx val="2"/>
          <c:order val="2"/>
          <c:tx>
            <c:strRef>
              <c:f>Simulador!$D$56</c:f>
              <c:strCache>
                <c:ptCount val="1"/>
                <c:pt idx="0">
                  <c:v>Ladder</c:v>
                </c:pt>
              </c:strCache>
            </c:strRef>
          </c:tx>
          <c:spPr>
            <a:solidFill>
              <a:srgbClr val="9AA5AE"/>
            </a:solidFill>
            <a:ln>
              <a:noFill/>
            </a:ln>
            <a:effectLst/>
          </c:spPr>
          <c:invertIfNegative val="0"/>
          <c:cat>
            <c:strRef>
              <c:f>Simulador!$A$57:$A$59</c:f>
              <c:strCache>
                <c:ptCount val="3"/>
                <c:pt idx="0">
                  <c:v>252 du</c:v>
                </c:pt>
                <c:pt idx="1">
                  <c:v>504 du</c:v>
                </c:pt>
                <c:pt idx="2">
                  <c:v>1.008 du</c:v>
                </c:pt>
              </c:strCache>
            </c:strRef>
          </c:cat>
          <c:val>
            <c:numRef>
              <c:f>Simulador!$D$57:$D$59</c:f>
              <c:numCache>
                <c:formatCode>#,##0;\(#,##0\);\-</c:formatCode>
                <c:ptCount val="3"/>
                <c:pt idx="0">
                  <c:v>2934.2723004694831</c:v>
                </c:pt>
                <c:pt idx="1">
                  <c:v>5899.7050147492628</c:v>
                </c:pt>
                <c:pt idx="2">
                  <c:v>11757.789535567314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C6-4ED0-BEDE-83748BADD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7712640"/>
        <c:axId val="1798920240"/>
      </c:barChart>
      <c:catAx>
        <c:axId val="1267712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Vértices (du)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98920240"/>
        <c:crosses val="autoZero"/>
        <c:auto val="1"/>
        <c:lblAlgn val="ctr"/>
        <c:lblOffset val="100"/>
        <c:noMultiLvlLbl val="0"/>
      </c:catAx>
      <c:valAx>
        <c:axId val="179892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DV01 (R$/bp)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771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4</xdr:col>
      <xdr:colOff>0</xdr:colOff>
      <xdr:row>85</xdr:row>
      <xdr:rowOff>0</xdr:rowOff>
    </xdr:to>
    <xdr:graphicFrame macro="">
      <xdr:nvGraphicFramePr>
        <xdr:cNvPr id="2" name="DV01PorVertice">
          <a:extLst>
            <a:ext uri="{FF2B5EF4-FFF2-40B4-BE49-F238E27FC236}">
              <a16:creationId xmlns:a16="http://schemas.microsoft.com/office/drawing/2014/main" id="{4AB333CF-6EC5-ABF9-379D-D4676A1A49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09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EDCC590-0B4A-4B56-9C6D-8836EFB994D7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a8c34022-c31b-489e-86b9-ef8e572d6eb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38FD-448F-4CE1-9E8C-1970E8FB4342}">
  <dimension ref="A1:A40"/>
  <sheetViews>
    <sheetView showGridLines="0" workbookViewId="0">
      <selection activeCell="A9" sqref="A9"/>
    </sheetView>
  </sheetViews>
  <sheetFormatPr defaultRowHeight="14.4" x14ac:dyDescent="0.3"/>
  <cols>
    <col min="1" max="1" width="166.6640625" customWidth="1"/>
  </cols>
  <sheetData>
    <row r="1" spans="1:1" ht="21" x14ac:dyDescent="0.4">
      <c r="A1" s="1" t="s">
        <v>68</v>
      </c>
    </row>
    <row r="2" spans="1:1" x14ac:dyDescent="0.3">
      <c r="A2" s="2" t="s">
        <v>69</v>
      </c>
    </row>
    <row r="3" spans="1:1" x14ac:dyDescent="0.3">
      <c r="A3" s="3"/>
    </row>
    <row r="4" spans="1:1" x14ac:dyDescent="0.3">
      <c r="A4" s="4" t="s">
        <v>70</v>
      </c>
    </row>
    <row r="5" spans="1:1" x14ac:dyDescent="0.3">
      <c r="A5" s="3" t="s">
        <v>71</v>
      </c>
    </row>
    <row r="6" spans="1:1" x14ac:dyDescent="0.3">
      <c r="A6" s="3"/>
    </row>
    <row r="7" spans="1:1" x14ac:dyDescent="0.3">
      <c r="A7" s="4" t="s">
        <v>72</v>
      </c>
    </row>
    <row r="8" spans="1:1" x14ac:dyDescent="0.3">
      <c r="A8" s="3" t="s">
        <v>73</v>
      </c>
    </row>
    <row r="9" spans="1:1" x14ac:dyDescent="0.3">
      <c r="A9" s="3" t="s">
        <v>74</v>
      </c>
    </row>
    <row r="10" spans="1:1" x14ac:dyDescent="0.3">
      <c r="A10" s="3" t="s">
        <v>75</v>
      </c>
    </row>
    <row r="11" spans="1:1" x14ac:dyDescent="0.3">
      <c r="A11" s="3"/>
    </row>
    <row r="12" spans="1:1" x14ac:dyDescent="0.3">
      <c r="A12" s="5" t="s">
        <v>76</v>
      </c>
    </row>
    <row r="13" spans="1:1" x14ac:dyDescent="0.3">
      <c r="A13" s="3"/>
    </row>
    <row r="14" spans="1:1" x14ac:dyDescent="0.3">
      <c r="A14" s="4" t="s">
        <v>77</v>
      </c>
    </row>
    <row r="15" spans="1:1" x14ac:dyDescent="0.3">
      <c r="A15" s="3" t="s">
        <v>78</v>
      </c>
    </row>
    <row r="16" spans="1:1" x14ac:dyDescent="0.3">
      <c r="A16" s="3"/>
    </row>
    <row r="17" spans="1:1" x14ac:dyDescent="0.3">
      <c r="A17" s="4" t="s">
        <v>79</v>
      </c>
    </row>
    <row r="18" spans="1:1" x14ac:dyDescent="0.3">
      <c r="A18" s="3" t="s">
        <v>80</v>
      </c>
    </row>
    <row r="19" spans="1:1" x14ac:dyDescent="0.3">
      <c r="A19" s="3"/>
    </row>
    <row r="20" spans="1:1" x14ac:dyDescent="0.3">
      <c r="A20" s="6" t="s">
        <v>81</v>
      </c>
    </row>
    <row r="21" spans="1:1" x14ac:dyDescent="0.3">
      <c r="A21" s="7" t="s">
        <v>82</v>
      </c>
    </row>
    <row r="22" spans="1:1" x14ac:dyDescent="0.3">
      <c r="A22" s="3"/>
    </row>
    <row r="23" spans="1:1" x14ac:dyDescent="0.3">
      <c r="A23" s="4" t="s">
        <v>83</v>
      </c>
    </row>
    <row r="24" spans="1:1" x14ac:dyDescent="0.3">
      <c r="A24" s="3" t="s">
        <v>84</v>
      </c>
    </row>
    <row r="25" spans="1:1" x14ac:dyDescent="0.3">
      <c r="A25" s="3"/>
    </row>
    <row r="26" spans="1:1" x14ac:dyDescent="0.3">
      <c r="A26" s="4" t="s">
        <v>85</v>
      </c>
    </row>
    <row r="27" spans="1:1" x14ac:dyDescent="0.3">
      <c r="A27" s="3" t="s">
        <v>86</v>
      </c>
    </row>
    <row r="28" spans="1:1" x14ac:dyDescent="0.3">
      <c r="A28" s="3" t="s">
        <v>87</v>
      </c>
    </row>
    <row r="29" spans="1:1" x14ac:dyDescent="0.3">
      <c r="A29" s="3" t="s">
        <v>88</v>
      </c>
    </row>
    <row r="30" spans="1:1" x14ac:dyDescent="0.3">
      <c r="A30" s="3" t="s">
        <v>89</v>
      </c>
    </row>
    <row r="31" spans="1:1" x14ac:dyDescent="0.3">
      <c r="A31" s="3" t="s">
        <v>90</v>
      </c>
    </row>
    <row r="32" spans="1:1" x14ac:dyDescent="0.3">
      <c r="A32" s="3"/>
    </row>
    <row r="33" spans="1:1" x14ac:dyDescent="0.3">
      <c r="A33" s="4" t="s">
        <v>91</v>
      </c>
    </row>
    <row r="34" spans="1:1" x14ac:dyDescent="0.3">
      <c r="A34" s="3" t="s">
        <v>92</v>
      </c>
    </row>
    <row r="35" spans="1:1" x14ac:dyDescent="0.3">
      <c r="A35" s="3"/>
    </row>
    <row r="36" spans="1:1" x14ac:dyDescent="0.3">
      <c r="A36" s="8" t="s">
        <v>93</v>
      </c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</sheetData>
  <sheetProtection sheet="1" objects="1" scenarios="1" sort="0" autoFilter="0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6C80-EEA5-4333-8A94-D18374C79885}">
  <dimension ref="A1:H60"/>
  <sheetViews>
    <sheetView showGridLines="0" workbookViewId="0"/>
  </sheetViews>
  <sheetFormatPr defaultRowHeight="14.4" x14ac:dyDescent="0.3"/>
  <cols>
    <col min="1" max="1" width="55.5546875" customWidth="1"/>
    <col min="2" max="5" width="20.33203125" customWidth="1"/>
    <col min="6" max="7" width="24.109375" customWidth="1"/>
  </cols>
  <sheetData>
    <row r="1" spans="1:8" ht="21" x14ac:dyDescent="0.4">
      <c r="A1" s="1" t="s">
        <v>0</v>
      </c>
      <c r="B1" s="3"/>
      <c r="C1" s="3"/>
      <c r="D1" s="3"/>
      <c r="E1" s="3"/>
      <c r="F1" s="3"/>
      <c r="G1" s="3"/>
      <c r="H1" s="3"/>
    </row>
    <row r="2" spans="1:8" x14ac:dyDescent="0.3">
      <c r="A2" s="2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s="4" t="s">
        <v>2</v>
      </c>
      <c r="B4" s="3"/>
      <c r="C4" s="3"/>
      <c r="D4" s="3"/>
      <c r="E4" s="3"/>
      <c r="F4" s="3"/>
      <c r="G4" s="3"/>
      <c r="H4" s="3"/>
    </row>
    <row r="5" spans="1:8" x14ac:dyDescent="0.3">
      <c r="A5" s="9" t="s">
        <v>3</v>
      </c>
      <c r="B5" s="9" t="s">
        <v>4</v>
      </c>
      <c r="C5" s="3"/>
      <c r="D5" s="3"/>
      <c r="E5" s="3"/>
      <c r="F5" s="3"/>
      <c r="G5" s="3"/>
      <c r="H5" s="3"/>
    </row>
    <row r="6" spans="1:8" x14ac:dyDescent="0.3">
      <c r="A6" s="10">
        <v>252</v>
      </c>
      <c r="B6" s="24">
        <v>0.13600000000000001</v>
      </c>
      <c r="C6" s="2" t="s">
        <v>5</v>
      </c>
      <c r="D6" s="3"/>
      <c r="E6" s="3"/>
      <c r="F6" s="3"/>
      <c r="G6" s="3"/>
      <c r="H6" s="3"/>
    </row>
    <row r="7" spans="1:8" x14ac:dyDescent="0.3">
      <c r="A7" s="10">
        <v>504</v>
      </c>
      <c r="B7" s="24">
        <v>0.13</v>
      </c>
      <c r="C7" s="3"/>
      <c r="D7" s="3"/>
      <c r="E7" s="3"/>
      <c r="F7" s="3"/>
      <c r="G7" s="3"/>
      <c r="H7" s="3"/>
    </row>
    <row r="8" spans="1:8" x14ac:dyDescent="0.3">
      <c r="A8" s="10">
        <v>1008</v>
      </c>
      <c r="B8" s="24">
        <v>0.13400000000000001</v>
      </c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4" t="s">
        <v>6</v>
      </c>
      <c r="B10" s="3"/>
      <c r="C10" s="3"/>
      <c r="D10" s="3"/>
      <c r="E10" s="3"/>
      <c r="F10" s="3"/>
      <c r="G10" s="3"/>
      <c r="H10" s="3"/>
    </row>
    <row r="11" spans="1:8" x14ac:dyDescent="0.3">
      <c r="A11" s="9" t="s">
        <v>7</v>
      </c>
      <c r="B11" s="9" t="s">
        <v>8</v>
      </c>
      <c r="C11" s="9" t="s">
        <v>4</v>
      </c>
      <c r="D11" s="9" t="s">
        <v>9</v>
      </c>
      <c r="E11" s="9" t="s">
        <v>10</v>
      </c>
      <c r="F11" s="9" t="s">
        <v>11</v>
      </c>
      <c r="G11" s="3"/>
      <c r="H11" s="3"/>
    </row>
    <row r="12" spans="1:8" x14ac:dyDescent="0.3">
      <c r="A12" s="10">
        <f>A6</f>
        <v>252</v>
      </c>
      <c r="B12" s="11">
        <f>A12/252</f>
        <v>1</v>
      </c>
      <c r="C12" s="11">
        <f>B6</f>
        <v>0.13600000000000001</v>
      </c>
      <c r="D12" s="11">
        <f>B12/(1+C12)</f>
        <v>0.88028169014084501</v>
      </c>
      <c r="E12" s="11">
        <f>B12*(B12+1)/(1+C12)^2</f>
        <v>1.5497917079944452</v>
      </c>
      <c r="F12" s="11">
        <f>D12*100*0.0001</f>
        <v>8.8028169014084494E-3</v>
      </c>
      <c r="G12" s="2" t="s">
        <v>12</v>
      </c>
      <c r="H12" s="3"/>
    </row>
    <row r="13" spans="1:8" x14ac:dyDescent="0.3">
      <c r="A13" s="10">
        <f>A7</f>
        <v>504</v>
      </c>
      <c r="B13" s="11">
        <f t="shared" ref="B13:B14" si="0">A13/252</f>
        <v>2</v>
      </c>
      <c r="C13" s="11">
        <f t="shared" ref="C13:C14" si="1">B7</f>
        <v>0.13</v>
      </c>
      <c r="D13" s="11">
        <f t="shared" ref="D13:D14" si="2">B13/(1+C13)</f>
        <v>1.7699115044247788</v>
      </c>
      <c r="E13" s="11">
        <f t="shared" ref="E13:E14" si="3">B13*(B13+1)/(1+C13)^2</f>
        <v>4.6988801002427767</v>
      </c>
      <c r="F13" s="11">
        <f t="shared" ref="F13:F14" si="4">D13*100*0.0001</f>
        <v>1.7699115044247787E-2</v>
      </c>
      <c r="G13" s="3"/>
      <c r="H13" s="3"/>
    </row>
    <row r="14" spans="1:8" x14ac:dyDescent="0.3">
      <c r="A14" s="10">
        <f>A8</f>
        <v>1008</v>
      </c>
      <c r="B14" s="11">
        <f t="shared" si="0"/>
        <v>4</v>
      </c>
      <c r="C14" s="11">
        <f t="shared" si="1"/>
        <v>0.13400000000000001</v>
      </c>
      <c r="D14" s="11">
        <f t="shared" si="2"/>
        <v>3.5273368606701943</v>
      </c>
      <c r="E14" s="11">
        <f t="shared" si="3"/>
        <v>15.552631660803327</v>
      </c>
      <c r="F14" s="11">
        <f t="shared" si="4"/>
        <v>3.5273368606701945E-2</v>
      </c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4" t="s">
        <v>13</v>
      </c>
      <c r="B16" s="3"/>
      <c r="C16" s="3"/>
      <c r="D16" s="3"/>
      <c r="E16" s="3"/>
      <c r="F16" s="3"/>
      <c r="G16" s="3"/>
      <c r="H16" s="3"/>
    </row>
    <row r="17" spans="1:8" x14ac:dyDescent="0.3">
      <c r="A17" s="12" t="s">
        <v>14</v>
      </c>
      <c r="B17" s="3"/>
      <c r="C17" s="25">
        <v>100000000</v>
      </c>
      <c r="D17" s="3"/>
      <c r="E17" s="3"/>
      <c r="F17" s="3"/>
      <c r="G17" s="3"/>
      <c r="H17" s="3"/>
    </row>
    <row r="18" spans="1:8" x14ac:dyDescent="0.3">
      <c r="A18" s="3" t="s">
        <v>15</v>
      </c>
      <c r="B18" s="3"/>
      <c r="C18" s="13">
        <f>(D14-D13)/(D14-D12)</f>
        <v>0.6639171619131653</v>
      </c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4" t="s">
        <v>16</v>
      </c>
      <c r="B20" s="3"/>
      <c r="C20" s="3"/>
      <c r="D20" s="3"/>
      <c r="E20" s="3"/>
      <c r="F20" s="3"/>
      <c r="G20" s="3"/>
      <c r="H20" s="3"/>
    </row>
    <row r="21" spans="1:8" x14ac:dyDescent="0.3">
      <c r="A21" s="9" t="s">
        <v>7</v>
      </c>
      <c r="B21" s="9" t="s">
        <v>17</v>
      </c>
      <c r="C21" s="9" t="s">
        <v>18</v>
      </c>
      <c r="D21" s="9" t="s">
        <v>19</v>
      </c>
      <c r="E21" s="3"/>
      <c r="F21" s="3"/>
      <c r="G21" s="3"/>
      <c r="H21" s="3"/>
    </row>
    <row r="22" spans="1:8" x14ac:dyDescent="0.3">
      <c r="A22" s="10">
        <f>A12</f>
        <v>252</v>
      </c>
      <c r="B22" s="14">
        <v>0</v>
      </c>
      <c r="C22" s="14">
        <f>$C$18</f>
        <v>0.6639171619131653</v>
      </c>
      <c r="D22" s="14">
        <f>1/3</f>
        <v>0.33333333333333331</v>
      </c>
      <c r="E22" s="15" t="s">
        <v>21</v>
      </c>
      <c r="F22" s="3"/>
      <c r="G22" s="3"/>
      <c r="H22" s="3"/>
    </row>
    <row r="23" spans="1:8" x14ac:dyDescent="0.3">
      <c r="A23" s="10">
        <f>A13</f>
        <v>504</v>
      </c>
      <c r="B23" s="14">
        <v>1</v>
      </c>
      <c r="C23" s="14">
        <v>0</v>
      </c>
      <c r="D23" s="14">
        <f>1/3</f>
        <v>0.33333333333333331</v>
      </c>
      <c r="E23" s="3"/>
      <c r="F23" s="3"/>
      <c r="G23" s="3"/>
      <c r="H23" s="3"/>
    </row>
    <row r="24" spans="1:8" x14ac:dyDescent="0.3">
      <c r="A24" s="10">
        <f>A14</f>
        <v>1008</v>
      </c>
      <c r="B24" s="14">
        <v>0</v>
      </c>
      <c r="C24" s="14">
        <f>1-$C$18</f>
        <v>0.3360828380868347</v>
      </c>
      <c r="D24" s="14">
        <f>1/3</f>
        <v>0.33333333333333331</v>
      </c>
      <c r="E24" s="3"/>
      <c r="F24" s="3"/>
      <c r="G24" s="3"/>
      <c r="H24" s="3"/>
    </row>
    <row r="25" spans="1:8" x14ac:dyDescent="0.3">
      <c r="A25" s="16" t="s">
        <v>20</v>
      </c>
      <c r="B25" s="14">
        <f>SUM(B22:B24)</f>
        <v>1</v>
      </c>
      <c r="C25" s="14">
        <f>SUM(C22:C24)</f>
        <v>1</v>
      </c>
      <c r="D25" s="14">
        <f>SUM(D22:D24)</f>
        <v>1</v>
      </c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17" t="s">
        <v>22</v>
      </c>
      <c r="B27" s="9" t="s">
        <v>17</v>
      </c>
      <c r="C27" s="9" t="s">
        <v>18</v>
      </c>
      <c r="D27" s="9" t="s">
        <v>19</v>
      </c>
      <c r="E27" s="3"/>
      <c r="F27" s="3"/>
      <c r="G27" s="3"/>
      <c r="H27" s="3"/>
    </row>
    <row r="28" spans="1:8" x14ac:dyDescent="0.3">
      <c r="A28" s="11" t="s">
        <v>23</v>
      </c>
      <c r="B28" s="18">
        <f>SUMPRODUCT(B$22:B$24,$D$12:$D$14)</f>
        <v>1.7699115044247788</v>
      </c>
      <c r="C28" s="18">
        <f t="shared" ref="C28:D28" si="5">SUMPRODUCT(C$22:C$24,$D$12:$D$14)</f>
        <v>1.7699115044247788</v>
      </c>
      <c r="D28" s="18">
        <f t="shared" si="5"/>
        <v>2.0591766850786062</v>
      </c>
      <c r="E28" s="3"/>
      <c r="F28" s="3"/>
      <c r="G28" s="3"/>
      <c r="H28" s="3"/>
    </row>
    <row r="29" spans="1:8" x14ac:dyDescent="0.3">
      <c r="A29" s="11" t="s">
        <v>24</v>
      </c>
      <c r="B29" s="19">
        <f>SUMPRODUCT(B$22:B$24,$F$12:$F$14)*$C$17/100</f>
        <v>17699.115044247788</v>
      </c>
      <c r="C29" s="19">
        <f t="shared" ref="C29:D29" si="6">SUMPRODUCT(C$22:C$24,$F$12:$F$14)*$C$17/100</f>
        <v>17699.115044247788</v>
      </c>
      <c r="D29" s="19">
        <f t="shared" si="6"/>
        <v>20591.766850786058</v>
      </c>
      <c r="E29" s="3"/>
      <c r="F29" s="3"/>
      <c r="G29" s="3"/>
      <c r="H29" s="3"/>
    </row>
    <row r="30" spans="1:8" x14ac:dyDescent="0.3">
      <c r="A30" s="11" t="s">
        <v>25</v>
      </c>
      <c r="B30" s="18">
        <f>SUMPRODUCT(B$22:B$24,$E$12:$E$14)</f>
        <v>4.6988801002427767</v>
      </c>
      <c r="C30" s="18">
        <f t="shared" ref="C30:D30" si="7">SUMPRODUCT(C$22:C$24,$E$12:$E$14)</f>
        <v>6.2559059006101725</v>
      </c>
      <c r="D30" s="18">
        <f t="shared" si="7"/>
        <v>7.2671011563468486</v>
      </c>
      <c r="E30" s="3"/>
      <c r="F30" s="3"/>
      <c r="G30" s="3"/>
      <c r="H30" s="3"/>
    </row>
    <row r="31" spans="1:8" x14ac:dyDescent="0.3">
      <c r="A31" s="11" t="s">
        <v>26</v>
      </c>
      <c r="B31" s="20">
        <f>SUMPRODUCT(B$22:B$24,$C$12:$C$14)</f>
        <v>0.13</v>
      </c>
      <c r="C31" s="20">
        <f t="shared" ref="C31:D31" si="8">SUMPRODUCT(C$22:C$24,$C$12:$C$14)</f>
        <v>0.13532783432382633</v>
      </c>
      <c r="D31" s="20">
        <f t="shared" si="8"/>
        <v>0.13333333333333333</v>
      </c>
      <c r="E31" s="3"/>
      <c r="F31" s="3"/>
      <c r="G31" s="3"/>
      <c r="H31" s="3"/>
    </row>
    <row r="32" spans="1:8" x14ac:dyDescent="0.3">
      <c r="A32" s="11" t="s">
        <v>27</v>
      </c>
      <c r="B32" s="21">
        <f>B28-$B$28</f>
        <v>0</v>
      </c>
      <c r="C32" s="21">
        <f t="shared" ref="C32:D32" si="9">C28-$B$28</f>
        <v>0</v>
      </c>
      <c r="D32" s="21">
        <f t="shared" si="9"/>
        <v>0.28926518065382734</v>
      </c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22" t="str">
        <f>IF(C31&lt;B31,"Carrego: a barbell cede carrego — o prêmio do seguro de convexidade (padrão em curvas típicas).","Carrego: atenção — NESTA curva (invertida, com corcova), a barbell rende mais; verifique o formato antes de generalizar. Em curvas típicas ela cede carrego.")</f>
        <v>Carrego: atenção — NESTA curva (invertida, com corcova), a barbell rende mais; verifique o formato antes de generalizar. Em curvas típicas ela cede carrego.</v>
      </c>
      <c r="B34" s="3"/>
      <c r="C34" s="3"/>
      <c r="D34" s="3"/>
      <c r="E34" s="3"/>
      <c r="F34" s="3"/>
      <c r="G34" s="3"/>
      <c r="H34" s="3"/>
    </row>
    <row r="35" spans="1:8" x14ac:dyDescent="0.3">
      <c r="A35" s="22" t="str">
        <f>IF(ABS(C28-B28)&lt;0.005,"✔ Verificação: MD da barbell = MD da bullet ("&amp;TEXT(C28,"0,00")&amp;") — iguais na reta, diferentes na curva e na torção.","✖ MD da barbell ("&amp;TEXT(C28,"0,00")&amp;") difere da bullet ("&amp;TEXT(B28,"0,00")&amp;") — recalibre o peso w.")</f>
        <v>✔ Verificação: MD da barbell = MD da bullet (1,77) — iguais na reta, diferentes na curva e na torção.</v>
      </c>
      <c r="B35" s="3"/>
      <c r="C35" s="3"/>
      <c r="D35" s="3"/>
      <c r="E35" s="3"/>
      <c r="F35" s="3"/>
      <c r="G35" s="3"/>
      <c r="H35" s="3"/>
    </row>
    <row r="36" spans="1:8" x14ac:dyDescent="0.3">
      <c r="A36" s="22" t="str">
        <f>"Ladder (extensão): MD "&amp;TEXT(D28,"0,00")&amp;" contra "&amp;TEXT(B28,"0,00")&amp;" da bullet — diferença de "&amp;TEXT(D32,"0,00")&amp;". A ladder NÃO é calibrada para igualar a duration."</f>
        <v>Ladder (extensão): MD 2,06 contra 1,77 da bullet — diferença de 0,29. A ladder NÃO é calibrada para igualar a duration.</v>
      </c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4" t="s">
        <v>28</v>
      </c>
      <c r="B38" s="3"/>
      <c r="C38" s="3"/>
      <c r="D38" s="3"/>
      <c r="E38" s="3"/>
      <c r="F38" s="3"/>
      <c r="G38" s="3"/>
      <c r="H38" s="3"/>
    </row>
    <row r="39" spans="1:8" x14ac:dyDescent="0.3">
      <c r="A39" s="9" t="s">
        <v>7</v>
      </c>
      <c r="B39" s="9" t="s">
        <v>29</v>
      </c>
      <c r="C39" s="9" t="s">
        <v>30</v>
      </c>
      <c r="D39" s="9" t="s">
        <v>31</v>
      </c>
      <c r="E39" s="3"/>
      <c r="F39" s="3"/>
      <c r="G39" s="3"/>
      <c r="H39" s="3"/>
    </row>
    <row r="40" spans="1:8" x14ac:dyDescent="0.3">
      <c r="A40" s="10">
        <f>A12</f>
        <v>252</v>
      </c>
      <c r="B40" s="26">
        <v>200</v>
      </c>
      <c r="C40" s="26">
        <v>-50</v>
      </c>
      <c r="D40" s="26">
        <v>0</v>
      </c>
      <c r="E40" s="15" t="s">
        <v>32</v>
      </c>
      <c r="F40" s="3"/>
      <c r="G40" s="3"/>
      <c r="H40" s="3"/>
    </row>
    <row r="41" spans="1:8" x14ac:dyDescent="0.3">
      <c r="A41" s="10">
        <f>A13</f>
        <v>504</v>
      </c>
      <c r="B41" s="26">
        <v>200</v>
      </c>
      <c r="C41" s="26">
        <v>0</v>
      </c>
      <c r="D41" s="26">
        <v>40</v>
      </c>
      <c r="E41" s="3"/>
      <c r="F41" s="3"/>
      <c r="G41" s="3"/>
      <c r="H41" s="3"/>
    </row>
    <row r="42" spans="1:8" x14ac:dyDescent="0.3">
      <c r="A42" s="10">
        <f>A14</f>
        <v>1008</v>
      </c>
      <c r="B42" s="26">
        <v>200</v>
      </c>
      <c r="C42" s="26">
        <v>50</v>
      </c>
      <c r="D42" s="26">
        <v>0</v>
      </c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4" t="s">
        <v>33</v>
      </c>
      <c r="B44" s="3"/>
      <c r="C44" s="3"/>
      <c r="D44" s="3"/>
      <c r="E44" s="3"/>
      <c r="F44" s="3"/>
      <c r="G44" s="3"/>
      <c r="H44" s="3"/>
    </row>
    <row r="45" spans="1:8" x14ac:dyDescent="0.3">
      <c r="A45" s="17" t="s">
        <v>34</v>
      </c>
      <c r="B45" s="9" t="s">
        <v>17</v>
      </c>
      <c r="C45" s="9" t="s">
        <v>18</v>
      </c>
      <c r="D45" s="9" t="s">
        <v>19</v>
      </c>
      <c r="E45" s="3"/>
      <c r="F45" s="3"/>
      <c r="G45" s="3"/>
      <c r="H45" s="3"/>
    </row>
    <row r="46" spans="1:8" x14ac:dyDescent="0.3">
      <c r="A46" s="11" t="s">
        <v>35</v>
      </c>
      <c r="B46" s="23">
        <f>(-SUMPRODUCT($B$22:$B$24,$F$12:$F$14,$B$40:$B$42)*$C$17/100+0.5*B$30*($B$40/10000)^2*$C$17)/1000</f>
        <v>-3445.8454068447022</v>
      </c>
      <c r="C46" s="23">
        <f>(-SUMPRODUCT($C$22:$C$24,$F$12:$F$14,$B$40:$B$42)*$C$17/100+0.5*C$30*($B$40/10000)^2*$C$17)/1000</f>
        <v>-3414.7048908373549</v>
      </c>
      <c r="D46" s="23">
        <f>(-SUMPRODUCT($D$22:$D$24,$F$12:$F$14,$B$40:$B$42)*$C$17/100+0.5*D$30*($B$40/10000)^2*$C$17)/1000</f>
        <v>-3973.0113470302754</v>
      </c>
      <c r="E46" s="3"/>
      <c r="F46" s="3"/>
      <c r="G46" s="3"/>
      <c r="H46" s="3"/>
    </row>
    <row r="47" spans="1:8" x14ac:dyDescent="0.3">
      <c r="A47" s="11" t="s">
        <v>30</v>
      </c>
      <c r="B47" s="23">
        <f>-SUMPRODUCT($B$22:$B$24,$F$12:$F$14,$C$40:$C$42)*$C$17/100/1000</f>
        <v>0</v>
      </c>
      <c r="C47" s="23">
        <f>-SUMPRODUCT($C$22:$C$24,$F$12:$F$14,$C$40:$C$42)*$C$17/100/1000</f>
        <v>-300.5216308099553</v>
      </c>
      <c r="D47" s="23">
        <f>-SUMPRODUCT($D$22:$D$24,$F$12:$F$14,$C$40:$C$42)*$C$17/100/1000</f>
        <v>-441.17586175489157</v>
      </c>
      <c r="E47" s="3"/>
      <c r="F47" s="3"/>
      <c r="G47" s="3"/>
      <c r="H47" s="3"/>
    </row>
    <row r="48" spans="1:8" x14ac:dyDescent="0.3">
      <c r="A48" s="11" t="s">
        <v>36</v>
      </c>
      <c r="B48" s="23">
        <f>-SUMPRODUCT($B$22:$B$24,$F$12:$F$14,$D$40:$D$42)*$C$17/100/1000</f>
        <v>-707.9646017699115</v>
      </c>
      <c r="C48" s="23">
        <f>-SUMPRODUCT($C$22:$C$24,$F$12:$F$14,$D$40:$D$42)*$C$17/100/1000</f>
        <v>0</v>
      </c>
      <c r="D48" s="23">
        <f>-SUMPRODUCT($D$22:$D$24,$F$12:$F$14,$D$40:$D$42)*$C$17/100/1000</f>
        <v>-235.98820058997052</v>
      </c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22" t="str">
        <f>"Paralelo +"&amp;TEXT($B$40,"0")&amp;" bps: "&amp;IF(C46&gt;B46,"a barbell perde menos / ganha mais que a bullet — a convexidade amortece a queda e turbina a alta (C barbell "&amp;TEXT(C30,"0,00")&amp;" vs. "&amp;TEXT(B30,"0,00")&amp;" da bullet).","neste choque a bullet se defende melhor — confira o tamanho do choque: o prêmio da convexidade só aparece em movimentos grandes.")</f>
        <v>Paralelo +200 bps: a barbell perde menos / ganha mais que a bullet — a convexidade amortece a queda e turbina a alta (C barbell 6,26 vs. 4,70 da bullet).</v>
      </c>
      <c r="B50" s="3"/>
      <c r="C50" s="3"/>
      <c r="D50" s="3"/>
      <c r="E50" s="3"/>
      <c r="F50" s="3"/>
      <c r="G50" s="3"/>
      <c r="H50" s="3"/>
    </row>
    <row r="51" spans="1:8" x14ac:dyDescent="0.3">
      <c r="A51" s="22" t="str">
        <f>"Steepening: "&amp;IF(C47&lt;B47,"a barbell sofre (ponta longa) o que a bullet não sofre — "&amp;TEXT(C47,"#.##0")&amp;" mil contra "&amp;TEXT(B47,"#.##0")&amp;" mil.","nesta configuração a barbell não é penalizada — reveja os sinais dos choques por vértice.")</f>
        <v>Steepening: a barbell sofre (ponta longa) o que a bullet não sofre — -301 mil contra 0 mil.</v>
      </c>
      <c r="B51" s="3"/>
      <c r="C51" s="3"/>
      <c r="D51" s="3"/>
      <c r="E51" s="3"/>
      <c r="F51" s="3"/>
      <c r="G51" s="3"/>
      <c r="H51" s="3"/>
    </row>
    <row r="52" spans="1:8" x14ac:dyDescent="0.3">
      <c r="A52" s="22" t="str">
        <f>"Curvatura: "&amp;IF(B48&lt;C48,"a bullet concentra a dor na barriga — "&amp;TEXT(B48,"#.##0")&amp;" mil contra "&amp;TEXT(C48,"#.##0")&amp;" mil da barbell, que não tem posição no 504.","nesta configuração a barriga não pune a bullet — reveja o choque de curvatura.")</f>
        <v>Curvatura: a bullet concentra a dor na barriga — -708 mil contra 0 mil da barbell, que não tem posição no 504.</v>
      </c>
      <c r="B52" s="3"/>
      <c r="C52" s="3"/>
      <c r="D52" s="3"/>
      <c r="E52" s="3"/>
      <c r="F52" s="3"/>
      <c r="G52" s="3"/>
      <c r="H52" s="3"/>
    </row>
    <row r="53" spans="1:8" x14ac:dyDescent="0.3">
      <c r="A53" s="2" t="s">
        <v>37</v>
      </c>
      <c r="B53" s="3"/>
      <c r="C53" s="3"/>
      <c r="D53" s="3"/>
      <c r="E53" s="3"/>
      <c r="F53" s="3"/>
      <c r="G53" s="3"/>
      <c r="H53" s="3"/>
    </row>
    <row r="54" spans="1:8" x14ac:dyDescent="0.3">
      <c r="A54" s="3"/>
      <c r="B54" s="3"/>
      <c r="C54" s="3"/>
      <c r="D54" s="3"/>
      <c r="E54" s="3"/>
      <c r="F54" s="3"/>
      <c r="G54" s="3"/>
      <c r="H54" s="3"/>
    </row>
    <row r="55" spans="1:8" x14ac:dyDescent="0.3">
      <c r="A55" s="4" t="s">
        <v>38</v>
      </c>
      <c r="B55" s="3"/>
      <c r="C55" s="3"/>
      <c r="D55" s="3"/>
      <c r="E55" s="3"/>
      <c r="F55" s="3"/>
      <c r="G55" s="3"/>
      <c r="H55" s="3"/>
    </row>
    <row r="56" spans="1:8" x14ac:dyDescent="0.3">
      <c r="A56" s="9" t="s">
        <v>39</v>
      </c>
      <c r="B56" s="9" t="s">
        <v>17</v>
      </c>
      <c r="C56" s="9" t="s">
        <v>18</v>
      </c>
      <c r="D56" s="9" t="s">
        <v>40</v>
      </c>
      <c r="E56" s="3"/>
      <c r="F56" s="3"/>
      <c r="G56" s="3"/>
      <c r="H56" s="3"/>
    </row>
    <row r="57" spans="1:8" x14ac:dyDescent="0.3">
      <c r="A57" s="11" t="str">
        <f>TEXT($A$12,"#.##0")&amp;" du"</f>
        <v>252 du</v>
      </c>
      <c r="B57" s="19">
        <f>B22*$F12*$C$17/100</f>
        <v>0</v>
      </c>
      <c r="C57" s="19">
        <f t="shared" ref="C57:D57" si="10">C22*$F12*$C$17/100</f>
        <v>5844.3412140243418</v>
      </c>
      <c r="D57" s="19">
        <f t="shared" si="10"/>
        <v>2934.2723004694831</v>
      </c>
      <c r="E57" s="3"/>
      <c r="F57" s="3"/>
      <c r="G57" s="3"/>
      <c r="H57" s="3"/>
    </row>
    <row r="58" spans="1:8" x14ac:dyDescent="0.3">
      <c r="A58" s="11" t="str">
        <f>TEXT($A$13,"#.##0")&amp;" du"</f>
        <v>504 du</v>
      </c>
      <c r="B58" s="19">
        <f t="shared" ref="B58:D58" si="11">B23*$F13*$C$17/100</f>
        <v>17699.115044247788</v>
      </c>
      <c r="C58" s="19">
        <f t="shared" si="11"/>
        <v>0</v>
      </c>
      <c r="D58" s="19">
        <f t="shared" si="11"/>
        <v>5899.7050147492628</v>
      </c>
      <c r="E58" s="3"/>
      <c r="F58" s="3"/>
      <c r="G58" s="3"/>
      <c r="H58" s="3"/>
    </row>
    <row r="59" spans="1:8" x14ac:dyDescent="0.3">
      <c r="A59" s="11" t="str">
        <f>TEXT($A$14,"#.##0")&amp;" du"</f>
        <v>1.008 du</v>
      </c>
      <c r="B59" s="19">
        <f t="shared" ref="B59:D59" si="12">B24*$F14*$C$17/100</f>
        <v>0</v>
      </c>
      <c r="C59" s="19">
        <f t="shared" si="12"/>
        <v>11854.773830223448</v>
      </c>
      <c r="D59" s="19">
        <f t="shared" si="12"/>
        <v>11757.789535567314</v>
      </c>
      <c r="E59" s="3"/>
      <c r="F59" s="3"/>
      <c r="G59" s="3"/>
      <c r="H59" s="3"/>
    </row>
    <row r="60" spans="1:8" x14ac:dyDescent="0.3">
      <c r="A60" s="3"/>
      <c r="B60" s="3"/>
      <c r="C60" s="3"/>
      <c r="D60" s="3"/>
      <c r="E60" s="3"/>
      <c r="F60" s="3"/>
      <c r="G60" s="3"/>
      <c r="H60" s="3"/>
    </row>
  </sheetData>
  <sheetProtection sheet="1" objects="1" scenarios="1" sort="0" autoFilter="0"/>
  <conditionalFormatting sqref="B46:D48">
    <cfRule type="cellIs" priority="1" operator="between"/>
    <cfRule type="cellIs" priority="2" operator="lessThan">
      <formula>0</formula>
    </cfRule>
    <cfRule type="expression" priority="3">
      <formula>B46&lt;0</formula>
    </cfRule>
  </conditionalFormatting>
  <dataValidations count="1">
    <dataValidation type="decimal" allowBlank="1" showInputMessage="1" showErrorMessage="1" errorTitle="Taxa inválida" error="Informe uma taxa entre 0% e 100%." sqref="B6:B8" xr:uid="{6A2A3BBF-8393-4DA9-82E4-2F73A0A46E97}">
      <formula1>0</formula1>
      <formula2>1</formula2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D4149-8348-4B10-BC7F-83BBA5929171}">
  <dimension ref="A1:D40"/>
  <sheetViews>
    <sheetView showGridLines="0" workbookViewId="0"/>
  </sheetViews>
  <sheetFormatPr defaultRowHeight="14.4" x14ac:dyDescent="0.3"/>
  <cols>
    <col min="1" max="1" width="77.77734375" customWidth="1"/>
    <col min="2" max="2" width="40.77734375" customWidth="1"/>
    <col min="3" max="3" width="22.21875" customWidth="1"/>
  </cols>
  <sheetData>
    <row r="1" spans="1:4" ht="21" x14ac:dyDescent="0.4">
      <c r="A1" s="1" t="s">
        <v>41</v>
      </c>
      <c r="B1" s="3"/>
      <c r="C1" s="3"/>
      <c r="D1" s="3"/>
    </row>
    <row r="2" spans="1:4" x14ac:dyDescent="0.3">
      <c r="A2" s="15" t="s">
        <v>42</v>
      </c>
      <c r="B2" s="3"/>
      <c r="C2" s="3"/>
      <c r="D2" s="3"/>
    </row>
    <row r="3" spans="1:4" x14ac:dyDescent="0.3">
      <c r="A3" s="3"/>
      <c r="B3" s="3"/>
      <c r="C3" s="3"/>
      <c r="D3" s="3"/>
    </row>
    <row r="4" spans="1:4" x14ac:dyDescent="0.3">
      <c r="A4" s="4" t="s">
        <v>43</v>
      </c>
      <c r="B4" s="3"/>
      <c r="C4" s="3"/>
      <c r="D4" s="3"/>
    </row>
    <row r="5" spans="1:4" x14ac:dyDescent="0.3">
      <c r="A5" s="3" t="s">
        <v>44</v>
      </c>
      <c r="B5" s="3"/>
      <c r="C5" s="3"/>
      <c r="D5" s="3"/>
    </row>
    <row r="6" spans="1:4" x14ac:dyDescent="0.3">
      <c r="A6" s="3" t="s">
        <v>45</v>
      </c>
      <c r="B6" s="30">
        <v>0.88</v>
      </c>
      <c r="C6" s="3"/>
      <c r="D6" s="3"/>
    </row>
    <row r="7" spans="1:4" x14ac:dyDescent="0.3">
      <c r="A7" s="3" t="s">
        <v>46</v>
      </c>
      <c r="B7" s="30">
        <v>1.65</v>
      </c>
      <c r="C7" s="3"/>
      <c r="D7" s="3"/>
    </row>
    <row r="8" spans="1:4" x14ac:dyDescent="0.3">
      <c r="A8" s="3" t="s">
        <v>47</v>
      </c>
      <c r="B8" s="30">
        <v>3.53</v>
      </c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 t="s">
        <v>48</v>
      </c>
      <c r="B10" s="31">
        <v>0</v>
      </c>
      <c r="C10" s="3"/>
      <c r="D10" s="3"/>
    </row>
    <row r="11" spans="1:4" x14ac:dyDescent="0.3">
      <c r="A11" s="3" t="s">
        <v>49</v>
      </c>
      <c r="B11" s="31">
        <v>0</v>
      </c>
      <c r="C11" s="3"/>
      <c r="D11" s="3"/>
    </row>
    <row r="12" spans="1:4" x14ac:dyDescent="0.3">
      <c r="A12" s="3" t="s">
        <v>50</v>
      </c>
      <c r="B12" s="27">
        <f>(B8-B7)/(B8-B6)</f>
        <v>0.7094339622641509</v>
      </c>
      <c r="C12" s="27">
        <f>1-B12</f>
        <v>0.2905660377358491</v>
      </c>
      <c r="D12" s="3"/>
    </row>
    <row r="13" spans="1:4" x14ac:dyDescent="0.3">
      <c r="A13" s="22" t="str">
        <f>IF(AND(ABS(B10-B12)&lt;=0.01,ABS(B11-(1-B12))&lt;=0.01),"✔ Correto — "&amp;TEXT(B12,"0%")&amp;" no curto e "&amp;TEXT(1-B12,"0%")&amp;" no longo (tolerância de 1 p.p.).","Continue: confira a fórmula dos pesos. Tolerância de 1 p.p.")</f>
        <v>Continue: confira a fórmula dos pesos. Tolerância de 1 p.p.</v>
      </c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4" t="s">
        <v>51</v>
      </c>
      <c r="B15" s="3"/>
      <c r="C15" s="3"/>
      <c r="D15" s="3"/>
    </row>
    <row r="16" spans="1:4" x14ac:dyDescent="0.3">
      <c r="A16" s="3" t="s">
        <v>52</v>
      </c>
      <c r="B16" s="3"/>
      <c r="C16" s="3"/>
      <c r="D16" s="3"/>
    </row>
    <row r="17" spans="1:4" x14ac:dyDescent="0.3">
      <c r="A17" s="3" t="s">
        <v>53</v>
      </c>
      <c r="B17" s="32"/>
      <c r="C17" s="3"/>
      <c r="D17" s="3"/>
    </row>
    <row r="18" spans="1:4" x14ac:dyDescent="0.3">
      <c r="A18" s="3" t="s">
        <v>54</v>
      </c>
      <c r="B18" s="28" t="str">
        <f>TEXT(Simulador!B46,"#.##0")&amp;"  /  "&amp;TEXT(Simulador!C46,"#.##0")&amp;"  /  "&amp;TEXT(Simulador!D46,"#.##0")</f>
        <v>-3.446  /  -3.415  /  -3.973</v>
      </c>
      <c r="C18" s="3"/>
      <c r="D18" s="3"/>
    </row>
    <row r="19" spans="1:4" x14ac:dyDescent="0.3">
      <c r="A19" s="3" t="s">
        <v>55</v>
      </c>
      <c r="B19" s="29" t="str" cm="1">
        <f t="array" ref="B19">INDEX({"Bullet";"Barbell";"Ladder"},MATCH(MAX(Simulador!B46:D46),Simulador!B46:D46,0))</f>
        <v>Barbell</v>
      </c>
      <c r="C19" s="3"/>
      <c r="D19" s="3"/>
    </row>
    <row r="20" spans="1:4" x14ac:dyDescent="0.3">
      <c r="A20" s="22" t="str">
        <f>IF(B17=B19,"✔ Correto — "&amp;B19&amp;". A correção ½·C·Δi² é maior porque a convexidade é dominada pela ponta longa (cresce com o quadrado do prazo).","Escolha uma carteira na lista e compare os P&amp;L; lembre-se do termo de segunda ordem ½·C·Δi².")</f>
        <v>Escolha uma carteira na lista e compare os P&amp;L; lembre-se do termo de segunda ordem ½·C·Δi².</v>
      </c>
      <c r="B20" s="3"/>
      <c r="C20" s="3"/>
      <c r="D20" s="3"/>
    </row>
    <row r="21" spans="1:4" x14ac:dyDescent="0.3">
      <c r="A21" s="3"/>
      <c r="B21" s="3"/>
      <c r="C21" s="3"/>
      <c r="D21" s="3"/>
    </row>
    <row r="22" spans="1:4" x14ac:dyDescent="0.3">
      <c r="A22" s="4" t="s">
        <v>56</v>
      </c>
      <c r="B22" s="3"/>
      <c r="C22" s="3"/>
      <c r="D22" s="3"/>
    </row>
    <row r="23" spans="1:4" x14ac:dyDescent="0.3">
      <c r="A23" s="3" t="s">
        <v>57</v>
      </c>
      <c r="B23" s="3"/>
      <c r="C23" s="3"/>
      <c r="D23" s="3"/>
    </row>
    <row r="24" spans="1:4" x14ac:dyDescent="0.3">
      <c r="A24" s="3" t="s">
        <v>53</v>
      </c>
      <c r="B24" s="32"/>
      <c r="C24" s="3"/>
      <c r="D24" s="3"/>
    </row>
    <row r="25" spans="1:4" x14ac:dyDescent="0.3">
      <c r="A25" s="3" t="s">
        <v>58</v>
      </c>
      <c r="B25" s="29" t="s">
        <v>59</v>
      </c>
      <c r="C25" s="3"/>
      <c r="D25" s="3"/>
    </row>
    <row r="26" spans="1:4" x14ac:dyDescent="0.3">
      <c r="A26" s="22" t="str">
        <f>IF(B24=B25,"✔ Correto — a bullet não tem nada na ponta longa; a barbell concentra aí "&amp;TEXT(Simulador!C24,"0%")&amp;" do valor.","Pense em quem tem DV01 no vértice de 1.008 du (veja o gráfico do Simulador).")</f>
        <v>Pense em quem tem DV01 no vértice de 1.008 du (veja o gráfico do Simulador).</v>
      </c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4" t="s">
        <v>60</v>
      </c>
      <c r="B28" s="3"/>
      <c r="C28" s="3"/>
      <c r="D28" s="3"/>
    </row>
    <row r="29" spans="1:4" x14ac:dyDescent="0.3">
      <c r="A29" s="3" t="s">
        <v>61</v>
      </c>
      <c r="B29" s="3"/>
      <c r="C29" s="3"/>
      <c r="D29" s="3"/>
    </row>
    <row r="30" spans="1:4" x14ac:dyDescent="0.3">
      <c r="A30" s="3" t="s">
        <v>53</v>
      </c>
      <c r="B30" s="32"/>
      <c r="C30" s="3"/>
      <c r="D30" s="3"/>
    </row>
    <row r="31" spans="1:4" x14ac:dyDescent="0.3">
      <c r="A31" s="3" t="s">
        <v>58</v>
      </c>
      <c r="B31" s="29" t="s">
        <v>62</v>
      </c>
      <c r="C31" s="3"/>
      <c r="D31" s="3"/>
    </row>
    <row r="32" spans="1:4" x14ac:dyDescent="0.3">
      <c r="A32" s="22" t="str">
        <f>IF(B30=B31,"✔ Correto — quem tem limite de perda, mandato curto ou passivo exigível paga o prêmio. Complemento: não há resposta certa fora do mandato.","Escolha uma opção. Dica: a decisão depende de quem consegue (ou não) carregar a posição durante o choque.")</f>
        <v>Escolha uma opção. Dica: a decisão depende de quem consegue (ou não) carregar a posição durante o choque.</v>
      </c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4" t="s">
        <v>63</v>
      </c>
      <c r="B34" s="3"/>
      <c r="C34" s="3"/>
      <c r="D34" s="3"/>
    </row>
    <row r="35" spans="1:4" x14ac:dyDescent="0.3">
      <c r="A35" s="3" t="s">
        <v>64</v>
      </c>
      <c r="B35" s="3"/>
      <c r="C35" s="3"/>
      <c r="D35" s="3"/>
    </row>
    <row r="36" spans="1:4" x14ac:dyDescent="0.3">
      <c r="A36" s="3" t="s">
        <v>65</v>
      </c>
      <c r="B36" s="33"/>
      <c r="C36" s="3"/>
      <c r="D36" s="3"/>
    </row>
    <row r="37" spans="1:4" x14ac:dyDescent="0.3">
      <c r="A37" s="3" t="s">
        <v>66</v>
      </c>
      <c r="B37" s="32" t="s">
        <v>67</v>
      </c>
      <c r="C37" s="3"/>
      <c r="D37" s="3"/>
    </row>
    <row r="38" spans="1:4" x14ac:dyDescent="0.3">
      <c r="A38" s="22" t="str">
        <f>IF(UPPER(B37)="SIM","Resposta-modelo: a ladder escalona vencimentos e dilui o risco de reinvestimento no tempo — sempre há um papel vencendo e sendo reaplicado à taxa corrente. É o meio-termo de convexidade e carrego, sem exigir visão de curva.","Responda ao lado e depois troque B37 para SIM para comparar com a resposta-modelo.")</f>
        <v>Responda ao lado e depois troque B37 para SIM para comparar com a resposta-modelo.</v>
      </c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</sheetData>
  <sheetProtection sheet="1" objects="1" scenarios="1" sort="0" autoFilter="0"/>
  <dataValidations count="4">
    <dataValidation type="list" allowBlank="1" showInputMessage="1" showErrorMessage="1" sqref="B17" xr:uid="{10FC77E8-2BBC-44EA-8DA1-B856E343D77E}">
      <formula1>"Bullet,Barbell,Ladder"</formula1>
    </dataValidation>
    <dataValidation type="list" allowBlank="1" showInputMessage="1" showErrorMessage="1" sqref="B24" xr:uid="{8A44343D-6B87-4764-B9D5-B0B3A07CF46D}">
      <formula1>"Barbell &gt; Ladder &gt; Bullet,Bullet &gt; Barbell &gt; Ladder,Ladder &gt; Bullet &gt; Barbell"</formula1>
    </dataValidation>
    <dataValidation type="list" allowBlank="1" showInputMessage="1" showErrorMessage="1" sqref="B30" xr:uid="{92410A8A-CDA8-4219-A71B-AE362C70B5AA}">
      <formula1>"Quem não pode atravessar o choque,Quem tem visão de curva parada,Ninguém: é sempre caro"</formula1>
    </dataValidation>
    <dataValidation type="list" allowBlank="1" showInputMessage="1" showErrorMessage="1" sqref="B37" xr:uid="{B4D1E666-B27F-4B97-8479-0F33F321A94F}">
      <formula1>"SIM,NÃO"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1F10-BD25-4527-9323-3DEC7D39EBE0}">
  <dimension ref="A1:A87"/>
  <sheetViews>
    <sheetView showGridLines="0" tabSelected="1" workbookViewId="0">
      <selection activeCell="A17" sqref="A17"/>
    </sheetView>
  </sheetViews>
  <sheetFormatPr defaultRowHeight="14.4" x14ac:dyDescent="0.3"/>
  <cols>
    <col min="1" max="1" width="129.6640625" customWidth="1"/>
  </cols>
  <sheetData>
    <row r="1" spans="1:1" ht="21" x14ac:dyDescent="0.4">
      <c r="A1" s="1" t="s">
        <v>94</v>
      </c>
    </row>
    <row r="2" spans="1:1" x14ac:dyDescent="0.3">
      <c r="A2" s="15" t="s">
        <v>95</v>
      </c>
    </row>
    <row r="3" spans="1:1" x14ac:dyDescent="0.3">
      <c r="A3" s="3"/>
    </row>
    <row r="4" spans="1:1" x14ac:dyDescent="0.3">
      <c r="A4" s="3" t="s">
        <v>96</v>
      </c>
    </row>
    <row r="5" spans="1:1" x14ac:dyDescent="0.3">
      <c r="A5" s="3"/>
    </row>
    <row r="6" spans="1:1" x14ac:dyDescent="0.3">
      <c r="A6" s="3" t="s">
        <v>97</v>
      </c>
    </row>
    <row r="7" spans="1:1" x14ac:dyDescent="0.3">
      <c r="A7" s="3"/>
    </row>
    <row r="8" spans="1:1" x14ac:dyDescent="0.3">
      <c r="A8" s="3" t="s">
        <v>98</v>
      </c>
    </row>
    <row r="9" spans="1:1" x14ac:dyDescent="0.3">
      <c r="A9" s="3"/>
    </row>
    <row r="10" spans="1:1" x14ac:dyDescent="0.3">
      <c r="A10" s="3" t="s">
        <v>99</v>
      </c>
    </row>
    <row r="11" spans="1:1" x14ac:dyDescent="0.3">
      <c r="A11" s="3"/>
    </row>
    <row r="12" spans="1:1" x14ac:dyDescent="0.3">
      <c r="A12" s="3" t="s">
        <v>100</v>
      </c>
    </row>
    <row r="13" spans="1:1" x14ac:dyDescent="0.3">
      <c r="A13" s="3"/>
    </row>
    <row r="14" spans="1:1" x14ac:dyDescent="0.3">
      <c r="A14" s="3" t="s">
        <v>101</v>
      </c>
    </row>
    <row r="15" spans="1:1" x14ac:dyDescent="0.3">
      <c r="A15" s="3"/>
    </row>
    <row r="16" spans="1:1" x14ac:dyDescent="0.3">
      <c r="A16" s="3" t="s">
        <v>102</v>
      </c>
    </row>
    <row r="17" spans="1:1" x14ac:dyDescent="0.3">
      <c r="A17" s="3"/>
    </row>
    <row r="18" spans="1:1" x14ac:dyDescent="0.3">
      <c r="A18" s="3" t="s">
        <v>103</v>
      </c>
    </row>
    <row r="19" spans="1:1" x14ac:dyDescent="0.3">
      <c r="A19" s="3"/>
    </row>
    <row r="20" spans="1:1" x14ac:dyDescent="0.3">
      <c r="A20" s="3" t="s">
        <v>104</v>
      </c>
    </row>
    <row r="21" spans="1:1" x14ac:dyDescent="0.3">
      <c r="A21" s="3"/>
    </row>
    <row r="22" spans="1:1" x14ac:dyDescent="0.3">
      <c r="A22" s="3" t="s">
        <v>105</v>
      </c>
    </row>
    <row r="23" spans="1:1" x14ac:dyDescent="0.3">
      <c r="A23" s="3"/>
    </row>
    <row r="24" spans="1:1" x14ac:dyDescent="0.3">
      <c r="A24" s="3" t="s">
        <v>106</v>
      </c>
    </row>
    <row r="25" spans="1:1" x14ac:dyDescent="0.3">
      <c r="A25" s="3"/>
    </row>
    <row r="26" spans="1:1" x14ac:dyDescent="0.3">
      <c r="A26" s="3" t="s">
        <v>107</v>
      </c>
    </row>
    <row r="27" spans="1:1" x14ac:dyDescent="0.3">
      <c r="A27" s="3" t="s">
        <v>108</v>
      </c>
    </row>
    <row r="28" spans="1:1" x14ac:dyDescent="0.3">
      <c r="A28" s="3" t="s">
        <v>109</v>
      </c>
    </row>
    <row r="29" spans="1:1" x14ac:dyDescent="0.3">
      <c r="A29" s="3" t="s">
        <v>110</v>
      </c>
    </row>
    <row r="30" spans="1:1" x14ac:dyDescent="0.3">
      <c r="A30" s="3" t="s">
        <v>111</v>
      </c>
    </row>
    <row r="31" spans="1:1" x14ac:dyDescent="0.3">
      <c r="A31" s="3" t="s">
        <v>112</v>
      </c>
    </row>
    <row r="32" spans="1:1" x14ac:dyDescent="0.3">
      <c r="A32" s="3"/>
    </row>
    <row r="33" spans="1:1" x14ac:dyDescent="0.3">
      <c r="A33" s="3" t="s">
        <v>113</v>
      </c>
    </row>
    <row r="34" spans="1:1" x14ac:dyDescent="0.3">
      <c r="A34" s="3"/>
    </row>
    <row r="35" spans="1:1" x14ac:dyDescent="0.3">
      <c r="A35" s="3" t="s">
        <v>114</v>
      </c>
    </row>
    <row r="36" spans="1:1" x14ac:dyDescent="0.3">
      <c r="A36" s="3" t="s">
        <v>115</v>
      </c>
    </row>
    <row r="37" spans="1:1" x14ac:dyDescent="0.3">
      <c r="A37" s="3" t="s">
        <v>116</v>
      </c>
    </row>
    <row r="38" spans="1:1" x14ac:dyDescent="0.3">
      <c r="A38" s="3" t="s">
        <v>117</v>
      </c>
    </row>
    <row r="39" spans="1:1" x14ac:dyDescent="0.3">
      <c r="A39" s="3" t="s">
        <v>118</v>
      </c>
    </row>
    <row r="40" spans="1:1" x14ac:dyDescent="0.3">
      <c r="A40" s="3"/>
    </row>
    <row r="41" spans="1:1" x14ac:dyDescent="0.3">
      <c r="A41" s="3" t="s">
        <v>119</v>
      </c>
    </row>
    <row r="42" spans="1:1" x14ac:dyDescent="0.3">
      <c r="A42" s="3"/>
    </row>
    <row r="43" spans="1:1" x14ac:dyDescent="0.3">
      <c r="A43" s="3" t="s">
        <v>120</v>
      </c>
    </row>
    <row r="44" spans="1:1" x14ac:dyDescent="0.3">
      <c r="A44" s="3" t="s">
        <v>121</v>
      </c>
    </row>
    <row r="45" spans="1:1" x14ac:dyDescent="0.3">
      <c r="A45" s="3"/>
    </row>
    <row r="46" spans="1:1" x14ac:dyDescent="0.3">
      <c r="A46" s="3" t="s">
        <v>122</v>
      </c>
    </row>
    <row r="47" spans="1:1" x14ac:dyDescent="0.3">
      <c r="A47" s="3" t="s">
        <v>123</v>
      </c>
    </row>
    <row r="48" spans="1:1" x14ac:dyDescent="0.3">
      <c r="A48" s="3" t="s">
        <v>124</v>
      </c>
    </row>
    <row r="49" spans="1:1" x14ac:dyDescent="0.3">
      <c r="A49" s="3" t="s">
        <v>125</v>
      </c>
    </row>
    <row r="50" spans="1:1" x14ac:dyDescent="0.3">
      <c r="A50" s="3"/>
    </row>
    <row r="51" spans="1:1" x14ac:dyDescent="0.3">
      <c r="A51" s="3" t="s">
        <v>126</v>
      </c>
    </row>
    <row r="52" spans="1:1" x14ac:dyDescent="0.3">
      <c r="A52" s="3"/>
    </row>
    <row r="53" spans="1:1" x14ac:dyDescent="0.3">
      <c r="A53" s="3" t="s">
        <v>127</v>
      </c>
    </row>
    <row r="54" spans="1:1" x14ac:dyDescent="0.3">
      <c r="A54" s="3" t="s">
        <v>128</v>
      </c>
    </row>
    <row r="55" spans="1:1" x14ac:dyDescent="0.3">
      <c r="A55" s="3"/>
    </row>
    <row r="56" spans="1:1" x14ac:dyDescent="0.3">
      <c r="A56" s="3" t="s">
        <v>129</v>
      </c>
    </row>
    <row r="57" spans="1:1" x14ac:dyDescent="0.3">
      <c r="A57" s="3" t="s">
        <v>130</v>
      </c>
    </row>
    <row r="58" spans="1:1" x14ac:dyDescent="0.3">
      <c r="A58" s="3" t="s">
        <v>131</v>
      </c>
    </row>
    <row r="59" spans="1:1" x14ac:dyDescent="0.3">
      <c r="A59" s="3" t="s">
        <v>132</v>
      </c>
    </row>
    <row r="60" spans="1:1" x14ac:dyDescent="0.3">
      <c r="A60" s="3"/>
    </row>
    <row r="61" spans="1:1" x14ac:dyDescent="0.3">
      <c r="A61" s="3" t="s">
        <v>133</v>
      </c>
    </row>
    <row r="62" spans="1:1" x14ac:dyDescent="0.3">
      <c r="A62" s="3" t="s">
        <v>134</v>
      </c>
    </row>
    <row r="63" spans="1:1" x14ac:dyDescent="0.3">
      <c r="A63" s="3" t="s">
        <v>135</v>
      </c>
    </row>
    <row r="64" spans="1:1" x14ac:dyDescent="0.3">
      <c r="A64" s="3" t="s">
        <v>136</v>
      </c>
    </row>
    <row r="65" spans="1:1" x14ac:dyDescent="0.3">
      <c r="A65" s="3"/>
    </row>
    <row r="66" spans="1:1" x14ac:dyDescent="0.3">
      <c r="A66" s="3" t="s">
        <v>137</v>
      </c>
    </row>
    <row r="67" spans="1:1" x14ac:dyDescent="0.3">
      <c r="A67" s="3" t="s">
        <v>138</v>
      </c>
    </row>
    <row r="68" spans="1:1" x14ac:dyDescent="0.3">
      <c r="A68" s="3"/>
    </row>
    <row r="69" spans="1:1" x14ac:dyDescent="0.3">
      <c r="A69" s="3" t="s">
        <v>139</v>
      </c>
    </row>
    <row r="70" spans="1:1" x14ac:dyDescent="0.3">
      <c r="A70" s="3"/>
    </row>
    <row r="71" spans="1:1" x14ac:dyDescent="0.3">
      <c r="A71" s="3" t="s">
        <v>140</v>
      </c>
    </row>
    <row r="72" spans="1:1" x14ac:dyDescent="0.3">
      <c r="A72" s="3"/>
    </row>
    <row r="73" spans="1:1" x14ac:dyDescent="0.3">
      <c r="A73" s="3" t="s">
        <v>141</v>
      </c>
    </row>
    <row r="74" spans="1:1" x14ac:dyDescent="0.3">
      <c r="A74" s="3" t="s">
        <v>142</v>
      </c>
    </row>
    <row r="75" spans="1:1" x14ac:dyDescent="0.3">
      <c r="A75" s="3" t="s">
        <v>143</v>
      </c>
    </row>
    <row r="76" spans="1:1" x14ac:dyDescent="0.3">
      <c r="A76" s="3" t="s">
        <v>144</v>
      </c>
    </row>
    <row r="77" spans="1:1" x14ac:dyDescent="0.3">
      <c r="A77" s="3" t="s">
        <v>145</v>
      </c>
    </row>
    <row r="78" spans="1:1" x14ac:dyDescent="0.3">
      <c r="A78" s="3"/>
    </row>
    <row r="79" spans="1:1" x14ac:dyDescent="0.3">
      <c r="A79" s="3" t="s">
        <v>146</v>
      </c>
    </row>
    <row r="80" spans="1:1" x14ac:dyDescent="0.3">
      <c r="A80" s="3"/>
    </row>
    <row r="81" spans="1:1" x14ac:dyDescent="0.3">
      <c r="A81" s="3" t="s">
        <v>147</v>
      </c>
    </row>
    <row r="82" spans="1:1" x14ac:dyDescent="0.3">
      <c r="A82" s="3"/>
    </row>
    <row r="83" spans="1:1" x14ac:dyDescent="0.3">
      <c r="A83" s="3" t="s">
        <v>148</v>
      </c>
    </row>
    <row r="84" spans="1:1" x14ac:dyDescent="0.3">
      <c r="A84" s="3"/>
    </row>
    <row r="85" spans="1:1" x14ac:dyDescent="0.3">
      <c r="A85" s="3" t="s">
        <v>149</v>
      </c>
    </row>
    <row r="86" spans="1:1" x14ac:dyDescent="0.3">
      <c r="A86" s="3" t="s">
        <v>150</v>
      </c>
    </row>
    <row r="87" spans="1:1" x14ac:dyDescent="0.3">
      <c r="A87" s="3" t="s">
        <v>151</v>
      </c>
    </row>
  </sheetData>
  <sheetProtection sheet="1" objects="1" scenarios="1" sort="0" autoFilter="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2026-08-13T17:38:53Z</dcterms:created>
  <dcterms:modified xsi:type="dcterms:W3CDTF">2026-08-19T18:32:58Z</dcterms:modified>
</cp:coreProperties>
</file>